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245" yWindow="210" windowWidth="15510" windowHeight="10380" activeTab="0"/>
  </bookViews>
  <sheets>
    <sheet name="дод. 12" sheetId="1" r:id="rId1"/>
  </sheets>
  <definedNames>
    <definedName name="_xlfn.AGGREGATE" hidden="1">#NAME?</definedName>
    <definedName name="_xlnm.Print_Titles" localSheetId="0">'дод. 12'!$6:$7</definedName>
    <definedName name="_xlnm.Print_Area" localSheetId="0">'дод. 12'!$A$1:$I$124</definedName>
  </definedNames>
  <calcPr fullCalcOnLoad="1"/>
</workbook>
</file>

<file path=xl/sharedStrings.xml><?xml version="1.0" encoding="utf-8"?>
<sst xmlns="http://schemas.openxmlformats.org/spreadsheetml/2006/main" count="145" uniqueCount="140">
  <si>
    <t>Назва напрямків</t>
  </si>
  <si>
    <t>Разом  видатків на поточний рік</t>
  </si>
  <si>
    <t>Відсоток виконання до річного плану</t>
  </si>
  <si>
    <t>№ з/п</t>
  </si>
  <si>
    <t>Утримання та розвиток автомобільних доріг та дорожньої інфраструктури за рахунок коштів місцевого бюджету</t>
  </si>
  <si>
    <t>Утримання  доріг (літнє: очищення зупинок громадського транспорту, прибордюрної частини шляхів,дорожнього покриття, технологічних смуг, миття шляхів поливо-мийними машинами високого тиску; зимове: очищення шляхів від снігу; навантаження та вивезення снігу; розчищення снігових валів на перехрестях, пішохідних переходах, зупинках громадського транспорту, в’їздах в двори та внутрішньоквартальні проїзди;оброблення шляхів технологічними матеріалами; очищення зупинок громадського транспорту; очищення проїжджої частини автогрейдером)</t>
  </si>
  <si>
    <t xml:space="preserve">ГОЛОВНИЙ РОЗПОРЯДНИК КОШТІВ - ДЕПАРТАМЕНТ ЖИТЛОВО-КОМУНАЛЬНОГО КОМПЛЕКСУ </t>
  </si>
  <si>
    <t>Поточні видатки</t>
  </si>
  <si>
    <t>Поточний ремонт дорожнього покриття</t>
  </si>
  <si>
    <t>Поточний ремонт пішоходних тротуарів</t>
  </si>
  <si>
    <t>Поточний ремонт внутрішньоквартальних проїздів</t>
  </si>
  <si>
    <t xml:space="preserve">Поточний ремонт та утримання мереж зливової каналізації </t>
  </si>
  <si>
    <t>Інші заходи із розвитку та збереження вулично-дорожньої мережі міста (технічні огляди дорожнього господарства, проведення контролю та експертизи якості виконаних будівельно-дорожніх робіт, об"єктів вулично-дорожньої мережі)</t>
  </si>
  <si>
    <t>ВСЬОГО ВИДАТКІВ</t>
  </si>
  <si>
    <t xml:space="preserve">Додаток № 12
до рішення міської ради
"Про міський бюджет на 2018 рік"
від _________ № ______ </t>
  </si>
  <si>
    <t xml:space="preserve">  на проведення робіт, пов'язаних із будівництвом, реконструкцією, ремонтом та утриманням автомобільних доріг у 2018 році</t>
  </si>
  <si>
    <t>ВИДАТКИ</t>
  </si>
  <si>
    <t>Поточний ремонт та утримання технічних засобів регулювання дорожнього руху</t>
  </si>
  <si>
    <t>Нанесення розмітки проїзної частини міста</t>
  </si>
  <si>
    <t>Загальний фонд</t>
  </si>
  <si>
    <t>№ Дії Програми соціально-економічного та культурного розвитку</t>
  </si>
  <si>
    <t>Фінансова підтримка КП "ЧЕЛУАШ" на проведення термінового (позапланового) поточного ремонту та утримання об'єктів вулично-дорожньої мережі, в т.ч:</t>
  </si>
  <si>
    <t>Нанесення розмітки проїзної частини</t>
  </si>
  <si>
    <t>Інші заходи із розвитку та збереження вулично-дорожньої мережі міста (зимове та літнє утримання доріг, утримання зелених насаджень, ремонт та утримання штучних споруд, малих архітектурних форм, зупинок громадського транспорту, інвентаризація та паспортизація дорожнього господарства)</t>
  </si>
  <si>
    <t>Інші заходи з ремонту та утримання мереж зливової каналізації (встановлення та заміна люків, рішіток, очищення колодязів, утримання насосних станцій)</t>
  </si>
  <si>
    <t>(грн.)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</si>
  <si>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</si>
  <si>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</si>
  <si>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</si>
  <si>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</si>
  <si>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</si>
  <si>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</si>
  <si>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</si>
  <si>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</si>
  <si>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</si>
  <si>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</si>
  <si>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</si>
  <si>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</si>
  <si>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Разом</t>
  </si>
  <si>
    <t>Капітальні видатки</t>
  </si>
  <si>
    <t>Капітальний ремонт міжквартального проїзду від ж/б № 184 до ж/б № 180 по вул.Благовісна</t>
  </si>
  <si>
    <t>Капітальний ремонт міжквартального проїзду від вул. Гуржіївська до будинку 391 по вул. Надпільна</t>
  </si>
  <si>
    <t>Капітальний ремонт міжквартального проїзду від ж/б № 48 по вул.Добровольського до вул.Благовісна</t>
  </si>
  <si>
    <t>Капітальний ремонт міжквартального проїзду між житловими будинками №29/4 та №29/2 по вул. М. Залізняка</t>
  </si>
  <si>
    <t>Капітальний ремонт міжквартального проїзду до будинків № 10, 12 по вул. Капітана Пилипенка та № 106 по вул.Пастерівська</t>
  </si>
  <si>
    <t xml:space="preserve">Капітальний ремонт міжквартального проїзду від житлового будинку 5 по вул. Кобзарська до вул. Амброса </t>
  </si>
  <si>
    <t>Капітальний ремонт міжквартального проїзду від житлового будинку № 43 по вул. Різдвяна до будівлі Державної служби охорони</t>
  </si>
  <si>
    <t>Капітальний ремонт міжквартального проїзду до будинків № 96, 94/1, 94/3 по вул.Смілянській від вул. Вернигори в м.Черкаси</t>
  </si>
  <si>
    <t>Капітальний ремонт внутрішньоквартального проїзду від вул. Надпільна до будинків 185, 187, 189, 191, 193, 201, 203, 205 по вул. Надпільна</t>
  </si>
  <si>
    <t>Капітальний ремонт пішоходної алеї від ж/б № 442 по вул.Благовісна до вул. Добровольського</t>
  </si>
  <si>
    <t>Капітальний ремонт пішоходної алеї від вул. Кобзарська до вул. Берегова</t>
  </si>
  <si>
    <t>Капітальний ремонт пішоходної алеї від житлових будинків 31, 33 по вул. Симиренківська до вул. Гетьмана Сагайдачного</t>
  </si>
  <si>
    <t>Капітальний ремонт пішоходної алеї від ж/б № 474 по бул.Шевченка до вул. Добровольського</t>
  </si>
  <si>
    <t>Капітальний ремонт вул. Благовісна (тротуар, парна сторона, від вул. Митницька до вул. Небесної Сотні) в м.Черкаси</t>
  </si>
  <si>
    <t>Капремонт вул. Вернигори (тротуар, непарна сторона, від вул. Лук’янова до вул. Десантників)</t>
  </si>
  <si>
    <t>Капремонт вул. Вернигори (тротуар, парна сторона, від вул. Смілянської до будинку №20 по вул. Вернигори, 20)</t>
  </si>
  <si>
    <t>Капітальний ремонт вул. Генарала Момота (тротуар, непарна сторона, від будинку №5  до буд №17)</t>
  </si>
  <si>
    <t>Капітальний ремонт вул. Митницька (тротуар, непарна сторона, від вул.Благовісна до вул.Надпільна) в м.Черкаси</t>
  </si>
  <si>
    <t>Капітальний ремонт вул. Можайського (тротуар, непарна сторона, від бул. Шевченка до вул. Благовісна) в м.Черкаси</t>
  </si>
  <si>
    <t>Капітальний ремонт тротуару від вулиці Невського до скверу "Весна" (вздовж ДНЗ № 18)</t>
  </si>
  <si>
    <t>Капітальний ремонт вул. Новопречистенської (тротуар, непарна сторона від вул. Гоголя до бул. Шевченка)</t>
  </si>
  <si>
    <t xml:space="preserve">Капітальний ремонт вул. Смілянська (тротуар, непарна сторона від вул. Володимира Ложешнікова до вул. Вернигори) в м. Черкаси </t>
  </si>
  <si>
    <t xml:space="preserve">Капітальний ремонт вул. Чехова (тротуар, непарна сторона від вул. Надпільна до вул. Благовісна) в м. Черкаси </t>
  </si>
  <si>
    <t>Карітальний ремонт вул. В.Чорновола (тротуар, парна сторона, від вул. А.Лупиноса до пров. А.Яковліва) в м.Черкаси</t>
  </si>
  <si>
    <t>Капітальний ремонт спуску Крилова в м.Черкаси</t>
  </si>
  <si>
    <t xml:space="preserve">Капітальний ремонт вул. Волкова (від вул. Чорновола до вул. Різдвяної) (в т.ч. паркувальний майданчик поблизу будинку №1 по вул. В. Чорновола) в м. Черкаси </t>
  </si>
  <si>
    <t xml:space="preserve">Капітальний ремонт Гетьмана Сагайдачного (від вул. Добровольського до вул.Пацаєва)  в м. Черкаси </t>
  </si>
  <si>
    <t>Капітальний ремонт вул. Митницької (від вул. Максима Залізняка до вул. Надпільна, від бульв. Шевченка до вул. Верхня Горова)</t>
  </si>
  <si>
    <t>Капітальний ремонт вул. Небесної сотні (від бул.Шевченка до вул. Благовісної )</t>
  </si>
  <si>
    <t>Капітальний ремонт вул.Нижня Горова в м.Черкаси</t>
  </si>
  <si>
    <t>Капітальний ремонт вул. Оборонної</t>
  </si>
  <si>
    <t xml:space="preserve">Капітальний ремонт вул. Першотравнева в м. Черкаси </t>
  </si>
  <si>
    <t>Капітальний ремонт вул. Симиренківська (від вул. Чигиринської до вул. Гетьмана Сагайдачного) в м. Черкаси</t>
  </si>
  <si>
    <t>Капітальний ремонт вул. Смілянська (від вул. 30 років Перемоги до межі міста) в м.Черкаси</t>
  </si>
  <si>
    <t>Капітальний ремонт вул. Хоменка</t>
  </si>
  <si>
    <t>Капітальний ремонт вул.Горіхова в м.Черкаси</t>
  </si>
  <si>
    <t>Капітальний ремонт вул.Затишна в м.Черкаси</t>
  </si>
  <si>
    <t>Капітальний ремонт вул.Генерала Коротєєва в м.Черкаси</t>
  </si>
  <si>
    <t xml:space="preserve">Капітальний ремонт вул. Братів Савченків в м.Черкаси </t>
  </si>
  <si>
    <t>Капітальний ремонт вул.Сурікова (від пров.Анатолія Пашкевича до залізничного переїзду) в м.Черкаси</t>
  </si>
  <si>
    <t>Капітальний ремонт мереж зливової каналізації по вул.Квітковій</t>
  </si>
  <si>
    <t>Капітальний ремонт мережі зливової каналізації по вул.Пацаєва в м.Черкаси</t>
  </si>
  <si>
    <t>Капітальний ремонт насосної станції по вул.Гетьмана Сагайдачного</t>
  </si>
  <si>
    <t xml:space="preserve">Капітальний ремонт вул. 30 років Перемоги (встановлення регульованого пішохідного світлофору поблизу житлового будинку № 4) в м. Черкаси  </t>
  </si>
  <si>
    <t xml:space="preserve">Капітальний ремонт вул. Смілянська (встановлення регульованого пішохідного світлофору навпроти будинку № 133 по вул. Смілянській) в м. Черкаси  </t>
  </si>
  <si>
    <t>Реконструкція узвозу Пастерівський</t>
  </si>
  <si>
    <t xml:space="preserve">Реконструкція вул. Смаглія </t>
  </si>
  <si>
    <t>Реконструкція вул. Толстого (влаштування автостоянки) в м.Черкаси</t>
  </si>
  <si>
    <t xml:space="preserve">Будівництво тротуару від буд. №7 по вул. О.Панченка до вул Онопрієнка вздовж буд №3 та ДНЗ № 69 «Росинка» </t>
  </si>
  <si>
    <t>ГОЛОВНИЙ РОЗПОРЯДНИК КОШТІВ - ДЕПАРТАМЕНТ АРХІТЕКТУРИ ТА МІСТОБУДУВАННЯ</t>
  </si>
  <si>
    <t>Капітальний ремонт вул. Небесної Сотні (тротуар  від бульв. Шевченка до вул. Хрещатик)</t>
  </si>
  <si>
    <r>
      <t xml:space="preserve">Капітальний ремонт вул. </t>
    </r>
    <r>
      <rPr>
        <sz val="14"/>
        <color indexed="8"/>
        <rFont val="Times New Roman"/>
        <family val="1"/>
      </rPr>
      <t xml:space="preserve">Ільїна (від вул. Можайського до вул. М. Грушевського) м. Черкаси </t>
    </r>
  </si>
  <si>
    <r>
      <t>Капітальний ремонт вул</t>
    </r>
    <r>
      <rPr>
        <sz val="14"/>
        <color indexed="8"/>
        <rFont val="Times New Roman"/>
        <family val="1"/>
      </rPr>
      <t xml:space="preserve">.Сумгаїтської (від вул.Одеської до вул.30-річчя Перемоги) в м.Черкаси </t>
    </r>
  </si>
  <si>
    <t xml:space="preserve">Капітальний ремонт бульв. Шевченка від вул. Університетської до вул. Можайського м. Черкаси </t>
  </si>
  <si>
    <t>Реконструкція вул. Героїв Дніпра  (від вул. Богдана Хмельницького до вул. Сержанта Смірнова), м. Черкаси</t>
  </si>
  <si>
    <t>Реконструкція вул. Героїв Дніпра  (від вул. Сержанта Жужоми до вул. Богдана Хмельницького), в м. Черкаси</t>
  </si>
  <si>
    <t>Реконструкція вул. Героїв Дніпра  (від вул. Сержанта Смірнова до вул. Козацька), в м. Черкаси</t>
  </si>
  <si>
    <t>Реконструкція вул. Менделєєва від вул. Санаторної до вул. Я. Галана</t>
  </si>
  <si>
    <r>
      <t xml:space="preserve">Реконструкція  вул. </t>
    </r>
    <r>
      <rPr>
        <sz val="14"/>
        <rFont val="Times New Roman"/>
        <family val="1"/>
      </rPr>
      <t>Молоткова, м. Черкаси  (І черга)</t>
    </r>
  </si>
  <si>
    <r>
      <t xml:space="preserve">Реконструкція вул. </t>
    </r>
    <r>
      <rPr>
        <sz val="14"/>
        <rFont val="Times New Roman"/>
        <family val="1"/>
      </rPr>
      <t>Молоткова, м. Черкаси (ІІ черга)</t>
    </r>
  </si>
  <si>
    <t>Реконструкція вул. Олени Теліги від вул.В. Вергая до вул. М. Грушевського (виготовлення ПКД)</t>
  </si>
  <si>
    <t>Реконструкція вул. Сумгаїтської від межі міста до вул.Одеської</t>
  </si>
  <si>
    <r>
      <t xml:space="preserve">Реконструкція із застосуванням щебенево-мастичного асфальтобетону вул. </t>
    </r>
    <r>
      <rPr>
        <sz val="14"/>
        <rFont val="Times New Roman"/>
        <family val="1"/>
      </rPr>
      <t xml:space="preserve">Благовісна від вул. Котовського до вул. Можайського,  м. Черкаси </t>
    </r>
  </si>
  <si>
    <r>
      <t xml:space="preserve">Реконструкція із застосуванням щебенево-мастичного асфальтобетону вул. </t>
    </r>
    <r>
      <rPr>
        <sz val="14"/>
        <rFont val="Times New Roman"/>
        <family val="1"/>
      </rPr>
      <t xml:space="preserve">Ільїна від вул. Котовського до вул. Енгельса </t>
    </r>
  </si>
  <si>
    <r>
      <t xml:space="preserve">Реконструкція із застосуванням щебенево-мастичного асфальтобетону вул. </t>
    </r>
    <r>
      <rPr>
        <sz val="14"/>
        <rFont val="Times New Roman"/>
        <family val="1"/>
      </rPr>
      <t xml:space="preserve">Котовського від вул. Хрещатик до вул. Одеської </t>
    </r>
  </si>
  <si>
    <r>
      <t xml:space="preserve">Реконструкція із застосуванням щебенево-мастичного асфальтобетону вул. </t>
    </r>
    <r>
      <rPr>
        <sz val="14"/>
        <rFont val="Times New Roman"/>
        <family val="1"/>
      </rPr>
      <t xml:space="preserve">Хрещатик від вул. Котовського до вул. Леніна </t>
    </r>
  </si>
  <si>
    <r>
      <t xml:space="preserve">Реконструкція із застосуванням щебенево-мастичного асфальтобетону вул. </t>
    </r>
    <r>
      <rPr>
        <sz val="14"/>
        <rFont val="Times New Roman"/>
        <family val="1"/>
      </rPr>
      <t xml:space="preserve">Чорновола від вул. Бидгощська до просп. Хіміків, м. Черкаси </t>
    </r>
  </si>
  <si>
    <t>Реконструкція із застосуванням щебенево-мастичного асфальтобетону бульв. Шевченка (від вул. Г.Сталінграда до вул. Різдв'яна), м. Черкаси</t>
  </si>
  <si>
    <t>Реконструкція із застосуванням щебенево-мастичного асфальтобетону бульв. Шевченка (від вул. Лазарєва до вул. Небесної Сотні), м. Черкаси</t>
  </si>
  <si>
    <t>Реконструкція із застосуванням щебенево-мастичного асфальтобетону бульв. Шевченка (від вул. Небесної Сотні до вул. Г.Сталінграда), м. Черкаси</t>
  </si>
  <si>
    <t>Реконструкція із застосуванням щебенево-мастичного асфальтобетону бульв. Шевченка (від вул. Різдв'яна до вул. Добровольського), м. Черкаси</t>
  </si>
  <si>
    <r>
      <t>Будівництво вул.</t>
    </r>
    <r>
      <rPr>
        <sz val="14"/>
        <rFont val="Times New Roman"/>
        <family val="1"/>
      </rPr>
      <t xml:space="preserve"> Квіткова від вул. Сумгаїтської  до вул. Хоменко </t>
    </r>
  </si>
  <si>
    <t>Спеціальний фонд</t>
  </si>
  <si>
    <t>з них</t>
  </si>
  <si>
    <t>бюджет розвитку</t>
  </si>
  <si>
    <t>Капітальний ремонт бульв. Шевченка (тротуари від вул. Небесної Сотні до вул. Г.Сталінграда), м. Черкаси</t>
  </si>
  <si>
    <t>Реконструкція вул. Ільїна (від вул. Чорновола до вул. Пацаєва) з ПКД</t>
  </si>
  <si>
    <t>Реконструкція провулку Богдана Хмельницького  м.Черкаси</t>
  </si>
  <si>
    <t>Реконструкція вул. Хрещатик (від вул. Пушкіна до вул. Грушевського) в м. Черкаси</t>
  </si>
  <si>
    <t>Капітальний ремонт міжквартального проїзду від вул. Різдвяна, 7 до ДНЗ № 43 в м. Черкаси</t>
  </si>
  <si>
    <t>Капітальний ремонт міжквартального проїзду від вул. В.Чорновола до буд. 330/5 по вул. Надпільна в м. Черкаси</t>
  </si>
  <si>
    <t>Капітальний ремонт вул. А. Лупиноса (від. вул. Пастерівська до вул. В.Чорновола) в м.Черкаси</t>
  </si>
  <si>
    <t>Капітальний ремонт мереж зливової каналізації по вул. Героїв Дніпра</t>
  </si>
  <si>
    <t>Реконструкція вул. Гагаріна (від парку "Сосновий Бір" до узвозу Франка) в м. Черкаси</t>
  </si>
  <si>
    <t>Реконструкція вулиці Сурікова (ІІІ черга)</t>
  </si>
  <si>
    <t>Капітальний ремонт бульв. Шевченка (тротуари від вул. Припортова до вул. Добровольського) м. Черкаси</t>
  </si>
  <si>
    <t>Капітальний ремонт вул. Благовісна від вул. В'ячеслава Чорновола до вул. Добровольського в м. Черкаси</t>
  </si>
  <si>
    <t>Капітальний ремонт Замкового узвозу (тротуар парної сторони) м. Черкаси</t>
  </si>
  <si>
    <t>Реконструкція вул. Академіка Корольова від вул. Сумгаїтська до вул. Олени Теліги  м. Черкаси</t>
  </si>
  <si>
    <t>Реконструкція вул. Гагаріна від вул. С.Жужоми до вул. С. Смірнова м. Черкаси</t>
  </si>
  <si>
    <t xml:space="preserve">Реконструкція вул. Гуржіївська від вул. Верхня Горова до вул. Надпільна в м. Черкаси </t>
  </si>
  <si>
    <t>Реконструкція вул. 30-річчя Перемоги від вул. Руставі до вул. Смілянська м. Черкаси</t>
  </si>
  <si>
    <t>Реконструкція вул. Різдвяна від вул. Толстого до вул. Нарбутівська м. Черкаси</t>
  </si>
  <si>
    <t>Реконструкція вул. Самійла Кішки від вул. Бидгощська до пр-т Хіміків м. Черкаси</t>
  </si>
  <si>
    <t xml:space="preserve">Реконструкція вул. Чайковського  від вул. Максима Залізняка до вул. В’ячеслава Чорновола  м. Черкаси </t>
  </si>
  <si>
    <t>Реконструкція вул.Чехова від вул. Нижня Горова до вул. Гетьмана Сагайдачного  м. Черкаси</t>
  </si>
  <si>
    <t>звірено з місц бюджетами  28.09</t>
  </si>
  <si>
    <t>Касові видатки станом на 02.11.18</t>
  </si>
  <si>
    <t>Відсоток виконання до плану 11 місяців</t>
  </si>
  <si>
    <t>Залишок призначень до плану 11 місяців</t>
  </si>
</sst>
</file>

<file path=xl/styles.xml><?xml version="1.0" encoding="utf-8"?>
<styleSheet xmlns="http://schemas.openxmlformats.org/spreadsheetml/2006/main">
  <numFmts count="5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_-* #,##0.00\ _г_р_н_._-;\-* #,##0.00\ _г_р_н_._-;_-* &quot;-&quot;??\ _г_р_н_._-;_-@_-"/>
    <numFmt numFmtId="181" formatCode="* #,##0;* \-#,##0;* &quot;-&quot;;@"/>
    <numFmt numFmtId="182" formatCode="* #,##0.00;* \-#,##0.00;* &quot;-&quot;??;@"/>
    <numFmt numFmtId="183" formatCode="* _-#,##0&quot;р.&quot;;* \-#,##0&quot;р.&quot;;* _-&quot;-&quot;&quot;р.&quot;;@"/>
    <numFmt numFmtId="184" formatCode="* _-#,##0.00&quot;р.&quot;;* \-#,##0.00&quot;р.&quot;;* _-&quot;-&quot;??&quot;р.&quot;;@"/>
    <numFmt numFmtId="185" formatCode="#,##0.0"/>
    <numFmt numFmtId="186" formatCode="0.0"/>
    <numFmt numFmtId="187" formatCode="#,##0.00000"/>
    <numFmt numFmtId="188" formatCode="0.000"/>
    <numFmt numFmtId="189" formatCode="0.0%"/>
    <numFmt numFmtId="190" formatCode="#,##0.000"/>
    <numFmt numFmtId="191" formatCode="#,##0.00_р_."/>
    <numFmt numFmtId="192" formatCode="#,##0.00\ _г_р_н_."/>
    <numFmt numFmtId="193" formatCode="000000"/>
    <numFmt numFmtId="194" formatCode="#,##0.00_ ;[Red]\-#,##0.00\ "/>
    <numFmt numFmtId="195" formatCode="#,##0\ &quot;грн.&quot;;\-#,##0\ &quot;грн.&quot;"/>
    <numFmt numFmtId="196" formatCode="#,##0\ &quot;грн.&quot;;[Red]\-#,##0\ &quot;грн.&quot;"/>
    <numFmt numFmtId="197" formatCode="#,##0.00\ &quot;грн.&quot;;\-#,##0.00\ &quot;грн.&quot;"/>
    <numFmt numFmtId="198" formatCode="#,##0.00\ &quot;грн.&quot;;[Red]\-#,##0.00\ &quot;грн.&quot;"/>
    <numFmt numFmtId="199" formatCode="_-* #,##0\ &quot;грн.&quot;_-;\-* #,##0\ &quot;грн.&quot;_-;_-* &quot;-&quot;\ &quot;грн.&quot;_-;_-@_-"/>
    <numFmt numFmtId="200" formatCode="_-* #,##0\ _г_р_н_._-;\-* #,##0\ _г_р_н_._-;_-* &quot;-&quot;\ _г_р_н_._-;_-@_-"/>
    <numFmt numFmtId="201" formatCode="_-* #,##0.00\ &quot;грн.&quot;_-;\-* #,##0.00\ &quot;грн.&quot;_-;_-* &quot;-&quot;??\ &quot;грн.&quot;_-;_-@_-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  <numFmt numFmtId="206" formatCode="#,##0.0000"/>
    <numFmt numFmtId="207" formatCode="#,##0.0\ _г_р_н_."/>
    <numFmt numFmtId="208" formatCode="0.00000000"/>
    <numFmt numFmtId="209" formatCode="0.0000000"/>
    <numFmt numFmtId="210" formatCode="0.000000"/>
    <numFmt numFmtId="211" formatCode="0.00000"/>
    <numFmt numFmtId="212" formatCode="0.0000"/>
  </numFmts>
  <fonts count="53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i/>
      <sz val="14"/>
      <name val="Times New Roman"/>
      <family val="1"/>
    </font>
    <font>
      <i/>
      <sz val="10"/>
      <name val="Times New Roman"/>
      <family val="1"/>
    </font>
    <font>
      <b/>
      <i/>
      <sz val="14"/>
      <name val="Times New Roman"/>
      <family val="1"/>
    </font>
    <font>
      <sz val="14"/>
      <color indexed="9"/>
      <name val="Times New Roman"/>
      <family val="1"/>
    </font>
    <font>
      <sz val="10"/>
      <color indexed="8"/>
      <name val="Times New Roman Cyr"/>
      <family val="0"/>
    </font>
    <font>
      <b/>
      <sz val="12"/>
      <color indexed="8"/>
      <name val="Times New Roman Cyr"/>
      <family val="0"/>
    </font>
    <font>
      <sz val="10"/>
      <color indexed="8"/>
      <name val="Arial"/>
      <family val="2"/>
    </font>
    <font>
      <b/>
      <i/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4"/>
      <color indexed="59"/>
      <name val="Times New Roman"/>
      <family val="1"/>
    </font>
    <font>
      <sz val="10"/>
      <color indexed="59"/>
      <name val="Times New Roman"/>
      <family val="1"/>
    </font>
    <font>
      <sz val="10"/>
      <color indexed="9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13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7" borderId="0" applyNumberFormat="0" applyBorder="0" applyAlignment="0" applyProtection="0"/>
    <xf numFmtId="0" fontId="15" fillId="6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1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2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3" borderId="0" applyNumberFormat="0" applyBorder="0" applyAlignment="0" applyProtection="0"/>
    <xf numFmtId="0" fontId="15" fillId="3" borderId="0" applyNumberFormat="0" applyBorder="0" applyAlignment="0" applyProtection="0"/>
    <xf numFmtId="0" fontId="15" fillId="6" borderId="0" applyNumberFormat="0" applyBorder="0" applyAlignment="0" applyProtection="0"/>
    <xf numFmtId="0" fontId="15" fillId="10" borderId="0" applyNumberFormat="0" applyBorder="0" applyAlignment="0" applyProtection="0"/>
    <xf numFmtId="0" fontId="14" fillId="14" borderId="0" applyNumberFormat="0" applyBorder="0" applyAlignment="0" applyProtection="0"/>
    <xf numFmtId="0" fontId="14" fillId="9" borderId="0" applyNumberFormat="0" applyBorder="0" applyAlignment="0" applyProtection="0"/>
    <xf numFmtId="0" fontId="14" fillId="11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6" borderId="0" applyNumberFormat="0" applyBorder="0" applyAlignment="0" applyProtection="0"/>
    <xf numFmtId="0" fontId="14" fillId="18" borderId="0" applyNumberFormat="0" applyBorder="0" applyAlignment="0" applyProtection="0"/>
    <xf numFmtId="0" fontId="14" fillId="12" borderId="0" applyNumberFormat="0" applyBorder="0" applyAlignment="0" applyProtection="0"/>
    <xf numFmtId="0" fontId="14" fillId="3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22" fillId="0" borderId="0">
      <alignment/>
      <protection/>
    </xf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8" borderId="0" applyNumberFormat="0" applyBorder="0" applyAlignment="0" applyProtection="0"/>
    <xf numFmtId="0" fontId="14" fillId="22" borderId="0" applyNumberFormat="0" applyBorder="0" applyAlignment="0" applyProtection="0"/>
    <xf numFmtId="0" fontId="14" fillId="18" borderId="0" applyNumberFormat="0" applyBorder="0" applyAlignment="0" applyProtection="0"/>
    <xf numFmtId="0" fontId="14" fillId="12" borderId="0" applyNumberFormat="0" applyBorder="0" applyAlignment="0" applyProtection="0"/>
    <xf numFmtId="0" fontId="14" fillId="2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8" fillId="7" borderId="1" applyNumberFormat="0" applyAlignment="0" applyProtection="0"/>
    <xf numFmtId="0" fontId="9" fillId="24" borderId="2" applyNumberFormat="0" applyAlignment="0" applyProtection="0"/>
    <xf numFmtId="0" fontId="16" fillId="24" borderId="1" applyNumberFormat="0" applyAlignment="0" applyProtection="0"/>
    <xf numFmtId="0" fontId="24" fillId="0" borderId="0" applyNumberFormat="0" applyFill="0" applyBorder="0" applyAlignment="0" applyProtection="0"/>
    <xf numFmtId="182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2" fillId="0" borderId="0">
      <alignment/>
      <protection/>
    </xf>
    <xf numFmtId="0" fontId="25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15" fillId="0" borderId="0">
      <alignment/>
      <protection/>
    </xf>
    <xf numFmtId="0" fontId="41" fillId="0" borderId="0">
      <alignment vertical="top"/>
      <protection/>
    </xf>
    <xf numFmtId="0" fontId="13" fillId="0" borderId="6" applyNumberFormat="0" applyFill="0" applyAlignment="0" applyProtection="0"/>
    <xf numFmtId="0" fontId="11" fillId="25" borderId="7" applyNumberFormat="0" applyAlignment="0" applyProtection="0"/>
    <xf numFmtId="0" fontId="17" fillId="0" borderId="0" applyNumberFormat="0" applyFill="0" applyBorder="0" applyAlignment="0" applyProtection="0"/>
    <xf numFmtId="0" fontId="18" fillId="13" borderId="0" applyNumberFormat="0" applyBorder="0" applyAlignment="0" applyProtection="0"/>
    <xf numFmtId="0" fontId="51" fillId="26" borderId="1" applyNumberFormat="0" applyAlignment="0" applyProtection="0"/>
    <xf numFmtId="0" fontId="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3" fillId="0" borderId="0">
      <alignment/>
      <protection/>
    </xf>
    <xf numFmtId="0" fontId="22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22" fillId="0" borderId="0">
      <alignment/>
      <protection/>
    </xf>
    <xf numFmtId="0" fontId="15" fillId="0" borderId="0">
      <alignment/>
      <protection/>
    </xf>
    <xf numFmtId="0" fontId="23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6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7" fillId="3" borderId="0" applyNumberFormat="0" applyBorder="0" applyAlignment="0" applyProtection="0"/>
    <xf numFmtId="0" fontId="7" fillId="5" borderId="0" applyNumberFormat="0" applyBorder="0" applyAlignment="0" applyProtection="0"/>
    <xf numFmtId="0" fontId="12" fillId="0" borderId="0" applyNumberFormat="0" applyFill="0" applyBorder="0" applyAlignment="0" applyProtection="0"/>
    <xf numFmtId="0" fontId="15" fillId="10" borderId="9" applyNumberFormat="0" applyFont="0" applyAlignment="0" applyProtection="0"/>
    <xf numFmtId="0" fontId="0" fillId="10" borderId="9" applyNumberFormat="0" applyFont="0" applyAlignment="0" applyProtection="0"/>
    <xf numFmtId="184" fontId="1" fillId="0" borderId="0" applyFont="0" applyFill="0" applyBorder="0" applyAlignment="0" applyProtection="0"/>
    <xf numFmtId="0" fontId="9" fillId="26" borderId="2" applyNumberFormat="0" applyAlignment="0" applyProtection="0"/>
    <xf numFmtId="0" fontId="19" fillId="0" borderId="10" applyNumberFormat="0" applyFill="0" applyAlignment="0" applyProtection="0"/>
    <xf numFmtId="0" fontId="52" fillId="13" borderId="0" applyNumberFormat="0" applyBorder="0" applyAlignment="0" applyProtection="0"/>
    <xf numFmtId="0" fontId="21" fillId="0" borderId="0">
      <alignment/>
      <protection/>
    </xf>
    <xf numFmtId="0" fontId="1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1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8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80" fontId="22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108">
    <xf numFmtId="0" fontId="0" fillId="0" borderId="0" xfId="0" applyAlignment="1">
      <alignment/>
    </xf>
    <xf numFmtId="0" fontId="28" fillId="0" borderId="11" xfId="107" applyFont="1" applyBorder="1" applyAlignment="1">
      <alignment horizontal="center" vertical="center" wrapText="1"/>
      <protection/>
    </xf>
    <xf numFmtId="0" fontId="0" fillId="0" borderId="0" xfId="112" applyFont="1">
      <alignment/>
      <protection/>
    </xf>
    <xf numFmtId="0" fontId="27" fillId="0" borderId="0" xfId="112" applyFont="1">
      <alignment/>
      <protection/>
    </xf>
    <xf numFmtId="0" fontId="32" fillId="0" borderId="0" xfId="112" applyFont="1" applyAlignment="1">
      <alignment horizontal="center" wrapText="1"/>
      <protection/>
    </xf>
    <xf numFmtId="0" fontId="32" fillId="27" borderId="11" xfId="112" applyFont="1" applyFill="1" applyBorder="1" applyAlignment="1">
      <alignment horizontal="center"/>
      <protection/>
    </xf>
    <xf numFmtId="0" fontId="33" fillId="27" borderId="11" xfId="112" applyFont="1" applyFill="1" applyBorder="1">
      <alignment/>
      <protection/>
    </xf>
    <xf numFmtId="0" fontId="32" fillId="27" borderId="11" xfId="112" applyFont="1" applyFill="1" applyBorder="1" applyAlignment="1">
      <alignment horizontal="left" wrapText="1"/>
      <protection/>
    </xf>
    <xf numFmtId="4" fontId="32" fillId="27" borderId="11" xfId="132" applyNumberFormat="1" applyFont="1" applyFill="1" applyBorder="1" applyAlignment="1">
      <alignment horizontal="center" vertical="center"/>
    </xf>
    <xf numFmtId="49" fontId="33" fillId="0" borderId="11" xfId="112" applyNumberFormat="1" applyFont="1" applyFill="1" applyBorder="1" applyAlignment="1">
      <alignment horizontal="center" vertical="center" wrapText="1"/>
      <protection/>
    </xf>
    <xf numFmtId="0" fontId="33" fillId="0" borderId="11" xfId="112" applyFont="1" applyBorder="1">
      <alignment/>
      <protection/>
    </xf>
    <xf numFmtId="0" fontId="0" fillId="0" borderId="0" xfId="112" applyFont="1" applyAlignment="1">
      <alignment horizontal="center"/>
      <protection/>
    </xf>
    <xf numFmtId="0" fontId="27" fillId="0" borderId="0" xfId="112" applyFont="1" applyAlignment="1">
      <alignment horizontal="right"/>
      <protection/>
    </xf>
    <xf numFmtId="0" fontId="0" fillId="0" borderId="11" xfId="112" applyFont="1" applyBorder="1">
      <alignment/>
      <protection/>
    </xf>
    <xf numFmtId="0" fontId="27" fillId="0" borderId="11" xfId="112" applyFont="1" applyBorder="1" applyAlignment="1">
      <alignment horizontal="center"/>
      <protection/>
    </xf>
    <xf numFmtId="0" fontId="4" fillId="0" borderId="0" xfId="112" applyFont="1">
      <alignment/>
      <protection/>
    </xf>
    <xf numFmtId="0" fontId="33" fillId="0" borderId="11" xfId="112" applyFont="1" applyFill="1" applyBorder="1" applyAlignment="1">
      <alignment horizontal="left" wrapText="1"/>
      <protection/>
    </xf>
    <xf numFmtId="4" fontId="33" fillId="0" borderId="11" xfId="107" applyNumberFormat="1" applyFont="1" applyFill="1" applyBorder="1" applyAlignment="1">
      <alignment horizontal="center"/>
      <protection/>
    </xf>
    <xf numFmtId="0" fontId="33" fillId="0" borderId="11" xfId="112" applyFont="1" applyFill="1" applyBorder="1">
      <alignment/>
      <protection/>
    </xf>
    <xf numFmtId="0" fontId="0" fillId="0" borderId="0" xfId="112" applyFont="1" applyFill="1">
      <alignment/>
      <protection/>
    </xf>
    <xf numFmtId="0" fontId="35" fillId="0" borderId="11" xfId="112" applyFont="1" applyFill="1" applyBorder="1" applyAlignment="1">
      <alignment horizontal="left" wrapText="1"/>
      <protection/>
    </xf>
    <xf numFmtId="4" fontId="35" fillId="0" borderId="11" xfId="107" applyNumberFormat="1" applyFont="1" applyFill="1" applyBorder="1" applyAlignment="1">
      <alignment horizontal="center"/>
      <protection/>
    </xf>
    <xf numFmtId="16" fontId="32" fillId="27" borderId="11" xfId="112" applyNumberFormat="1" applyFont="1" applyFill="1" applyBorder="1" applyAlignment="1">
      <alignment horizontal="center"/>
      <protection/>
    </xf>
    <xf numFmtId="0" fontId="32" fillId="27" borderId="11" xfId="112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/>
    </xf>
    <xf numFmtId="0" fontId="31" fillId="0" borderId="0" xfId="112" applyFont="1" applyAlignment="1">
      <alignment horizontal="center" wrapText="1"/>
      <protection/>
    </xf>
    <xf numFmtId="49" fontId="35" fillId="0" borderId="11" xfId="112" applyNumberFormat="1" applyFont="1" applyFill="1" applyBorder="1" applyAlignment="1">
      <alignment horizontal="center" vertical="center" wrapText="1"/>
      <protection/>
    </xf>
    <xf numFmtId="0" fontId="35" fillId="0" borderId="11" xfId="112" applyFont="1" applyBorder="1">
      <alignment/>
      <protection/>
    </xf>
    <xf numFmtId="0" fontId="35" fillId="0" borderId="11" xfId="0" applyFont="1" applyFill="1" applyBorder="1" applyAlignment="1">
      <alignment vertical="top" wrapText="1"/>
    </xf>
    <xf numFmtId="0" fontId="36" fillId="0" borderId="0" xfId="112" applyFont="1">
      <alignment/>
      <protection/>
    </xf>
    <xf numFmtId="49" fontId="37" fillId="0" borderId="11" xfId="112" applyNumberFormat="1" applyFont="1" applyFill="1" applyBorder="1" applyAlignment="1">
      <alignment horizontal="center" vertical="center" wrapText="1"/>
      <protection/>
    </xf>
    <xf numFmtId="0" fontId="37" fillId="0" borderId="11" xfId="112" applyFont="1" applyBorder="1">
      <alignment/>
      <protection/>
    </xf>
    <xf numFmtId="0" fontId="37" fillId="0" borderId="11" xfId="0" applyFont="1" applyFill="1" applyBorder="1" applyAlignment="1">
      <alignment vertical="top" wrapText="1"/>
    </xf>
    <xf numFmtId="4" fontId="37" fillId="0" borderId="11" xfId="107" applyNumberFormat="1" applyFont="1" applyFill="1" applyBorder="1" applyAlignment="1">
      <alignment horizontal="center"/>
      <protection/>
    </xf>
    <xf numFmtId="0" fontId="5" fillId="0" borderId="0" xfId="112" applyFont="1">
      <alignment/>
      <protection/>
    </xf>
    <xf numFmtId="0" fontId="27" fillId="0" borderId="0" xfId="112" applyFont="1" applyAlignment="1">
      <alignment wrapText="1"/>
      <protection/>
    </xf>
    <xf numFmtId="0" fontId="32" fillId="0" borderId="12" xfId="112" applyFont="1" applyFill="1" applyBorder="1" applyAlignment="1">
      <alignment horizontal="center" wrapText="1"/>
      <protection/>
    </xf>
    <xf numFmtId="4" fontId="32" fillId="0" borderId="12" xfId="107" applyNumberFormat="1" applyFont="1" applyFill="1" applyBorder="1" applyAlignment="1">
      <alignment horizontal="center"/>
      <protection/>
    </xf>
    <xf numFmtId="2" fontId="32" fillId="27" borderId="11" xfId="112" applyNumberFormat="1" applyFont="1" applyFill="1" applyBorder="1" applyAlignment="1">
      <alignment horizontal="center"/>
      <protection/>
    </xf>
    <xf numFmtId="4" fontId="38" fillId="0" borderId="11" xfId="107" applyNumberFormat="1" applyFont="1" applyFill="1" applyBorder="1" applyAlignment="1">
      <alignment horizontal="center"/>
      <protection/>
    </xf>
    <xf numFmtId="0" fontId="32" fillId="26" borderId="0" xfId="112" applyFont="1" applyFill="1" applyBorder="1" applyAlignment="1">
      <alignment/>
      <protection/>
    </xf>
    <xf numFmtId="0" fontId="4" fillId="0" borderId="11" xfId="112" applyFont="1" applyBorder="1">
      <alignment/>
      <protection/>
    </xf>
    <xf numFmtId="0" fontId="0" fillId="0" borderId="11" xfId="112" applyFont="1" applyFill="1" applyBorder="1">
      <alignment/>
      <protection/>
    </xf>
    <xf numFmtId="0" fontId="36" fillId="0" borderId="11" xfId="112" applyFont="1" applyBorder="1">
      <alignment/>
      <protection/>
    </xf>
    <xf numFmtId="4" fontId="39" fillId="0" borderId="11" xfId="0" applyNumberFormat="1" applyFont="1" applyFill="1" applyBorder="1" applyAlignment="1">
      <alignment horizontal="right"/>
    </xf>
    <xf numFmtId="4" fontId="0" fillId="0" borderId="11" xfId="112" applyNumberFormat="1" applyFont="1" applyBorder="1">
      <alignment/>
      <protection/>
    </xf>
    <xf numFmtId="4" fontId="40" fillId="0" borderId="11" xfId="0" applyNumberFormat="1" applyFont="1" applyFill="1" applyBorder="1" applyAlignment="1">
      <alignment horizontal="right"/>
    </xf>
    <xf numFmtId="4" fontId="20" fillId="0" borderId="11" xfId="112" applyNumberFormat="1" applyFont="1" applyBorder="1">
      <alignment/>
      <protection/>
    </xf>
    <xf numFmtId="4" fontId="0" fillId="0" borderId="0" xfId="112" applyNumberFormat="1" applyFont="1">
      <alignment/>
      <protection/>
    </xf>
    <xf numFmtId="4" fontId="32" fillId="26" borderId="11" xfId="112" applyNumberFormat="1" applyFont="1" applyFill="1" applyBorder="1" applyAlignment="1">
      <alignment/>
      <protection/>
    </xf>
    <xf numFmtId="4" fontId="5" fillId="0" borderId="11" xfId="112" applyNumberFormat="1" applyFont="1" applyBorder="1">
      <alignment/>
      <protection/>
    </xf>
    <xf numFmtId="186" fontId="33" fillId="0" borderId="11" xfId="112" applyNumberFormat="1" applyFont="1" applyFill="1" applyBorder="1" applyAlignment="1">
      <alignment horizontal="center"/>
      <protection/>
    </xf>
    <xf numFmtId="0" fontId="20" fillId="0" borderId="11" xfId="107" applyFont="1" applyBorder="1" applyAlignment="1">
      <alignment horizontal="center" vertical="center" wrapText="1"/>
      <protection/>
    </xf>
    <xf numFmtId="0" fontId="32" fillId="0" borderId="11" xfId="112" applyFont="1" applyFill="1" applyBorder="1" applyAlignment="1">
      <alignment horizontal="center" wrapText="1"/>
      <protection/>
    </xf>
    <xf numFmtId="4" fontId="32" fillId="0" borderId="11" xfId="107" applyNumberFormat="1" applyFont="1" applyFill="1" applyBorder="1" applyAlignment="1">
      <alignment horizontal="center"/>
      <protection/>
    </xf>
    <xf numFmtId="0" fontId="34" fillId="26" borderId="11" xfId="0" applyFont="1" applyFill="1" applyBorder="1" applyAlignment="1">
      <alignment vertical="top" wrapText="1"/>
    </xf>
    <xf numFmtId="194" fontId="33" fillId="26" borderId="11" xfId="0" applyNumberFormat="1" applyFont="1" applyFill="1" applyBorder="1" applyAlignment="1">
      <alignment horizontal="center" vertical="center"/>
    </xf>
    <xf numFmtId="4" fontId="33" fillId="26" borderId="11" xfId="94" applyNumberFormat="1" applyFont="1" applyFill="1" applyBorder="1" applyAlignment="1">
      <alignment horizontal="center" vertical="center"/>
      <protection/>
    </xf>
    <xf numFmtId="194" fontId="33" fillId="26" borderId="11" xfId="0" applyNumberFormat="1" applyFont="1" applyFill="1" applyBorder="1" applyAlignment="1">
      <alignment horizontal="left" vertical="center" wrapText="1"/>
    </xf>
    <xf numFmtId="0" fontId="34" fillId="26" borderId="11" xfId="113" applyFont="1" applyFill="1" applyBorder="1" applyAlignment="1">
      <alignment vertical="top" wrapText="1"/>
      <protection/>
    </xf>
    <xf numFmtId="194" fontId="33" fillId="26" borderId="11" xfId="113" applyNumberFormat="1" applyFont="1" applyFill="1" applyBorder="1" applyAlignment="1">
      <alignment horizontal="center" vertical="center"/>
      <protection/>
    </xf>
    <xf numFmtId="4" fontId="35" fillId="27" borderId="11" xfId="107" applyNumberFormat="1" applyFont="1" applyFill="1" applyBorder="1" applyAlignment="1">
      <alignment horizontal="center"/>
      <protection/>
    </xf>
    <xf numFmtId="0" fontId="32" fillId="0" borderId="11" xfId="112" applyFont="1" applyFill="1" applyBorder="1" applyAlignment="1">
      <alignment horizontal="center"/>
      <protection/>
    </xf>
    <xf numFmtId="0" fontId="35" fillId="0" borderId="11" xfId="112" applyFont="1" applyFill="1" applyBorder="1">
      <alignment/>
      <protection/>
    </xf>
    <xf numFmtId="4" fontId="34" fillId="26" borderId="11" xfId="94" applyNumberFormat="1" applyFont="1" applyFill="1" applyBorder="1" applyAlignment="1">
      <alignment horizontal="center" vertical="center"/>
      <protection/>
    </xf>
    <xf numFmtId="0" fontId="28" fillId="0" borderId="11" xfId="112" applyFont="1" applyBorder="1">
      <alignment/>
      <protection/>
    </xf>
    <xf numFmtId="4" fontId="27" fillId="26" borderId="11" xfId="0" applyNumberFormat="1" applyFont="1" applyFill="1" applyBorder="1" applyAlignment="1">
      <alignment horizontal="center" vertical="center"/>
    </xf>
    <xf numFmtId="0" fontId="0" fillId="26" borderId="11" xfId="0" applyFont="1" applyFill="1" applyBorder="1" applyAlignment="1">
      <alignment/>
    </xf>
    <xf numFmtId="0" fontId="42" fillId="0" borderId="11" xfId="112" applyFont="1" applyBorder="1">
      <alignment/>
      <protection/>
    </xf>
    <xf numFmtId="194" fontId="43" fillId="0" borderId="11" xfId="0" applyNumberFormat="1" applyFont="1" applyFill="1" applyBorder="1" applyAlignment="1">
      <alignment horizontal="right" wrapText="1"/>
    </xf>
    <xf numFmtId="194" fontId="30" fillId="0" borderId="11" xfId="94" applyNumberFormat="1" applyFont="1" applyFill="1" applyBorder="1" applyAlignment="1">
      <alignment horizontal="right"/>
      <protection/>
    </xf>
    <xf numFmtId="194" fontId="30" fillId="0" borderId="11" xfId="0" applyNumberFormat="1" applyFont="1" applyFill="1" applyBorder="1" applyAlignment="1">
      <alignment horizontal="right" wrapText="1"/>
    </xf>
    <xf numFmtId="194" fontId="43" fillId="0" borderId="11" xfId="113" applyNumberFormat="1" applyFont="1" applyFill="1" applyBorder="1" applyAlignment="1">
      <alignment horizontal="right" wrapText="1"/>
      <protection/>
    </xf>
    <xf numFmtId="194" fontId="44" fillId="0" borderId="11" xfId="0" applyNumberFormat="1" applyFont="1" applyFill="1" applyBorder="1" applyAlignment="1">
      <alignment horizontal="right" wrapText="1"/>
    </xf>
    <xf numFmtId="0" fontId="27" fillId="0" borderId="11" xfId="112" applyFont="1" applyFill="1" applyBorder="1" applyAlignment="1">
      <alignment horizontal="center"/>
      <protection/>
    </xf>
    <xf numFmtId="4" fontId="27" fillId="12" borderId="11" xfId="0" applyNumberFormat="1" applyFont="1" applyFill="1" applyBorder="1" applyAlignment="1">
      <alignment horizontal="center" vertical="center"/>
    </xf>
    <xf numFmtId="4" fontId="27" fillId="27" borderId="11" xfId="0" applyNumberFormat="1" applyFont="1" applyFill="1" applyBorder="1" applyAlignment="1">
      <alignment horizontal="center" vertical="center"/>
    </xf>
    <xf numFmtId="4" fontId="45" fillId="0" borderId="11" xfId="107" applyNumberFormat="1" applyFont="1" applyFill="1" applyBorder="1" applyAlignment="1">
      <alignment horizontal="center"/>
      <protection/>
    </xf>
    <xf numFmtId="0" fontId="46" fillId="0" borderId="0" xfId="112" applyFont="1">
      <alignment/>
      <protection/>
    </xf>
    <xf numFmtId="2" fontId="32" fillId="0" borderId="11" xfId="112" applyNumberFormat="1" applyFont="1" applyFill="1" applyBorder="1" applyAlignment="1">
      <alignment horizontal="center"/>
      <protection/>
    </xf>
    <xf numFmtId="0" fontId="47" fillId="0" borderId="11" xfId="112" applyFont="1" applyBorder="1">
      <alignment/>
      <protection/>
    </xf>
    <xf numFmtId="186" fontId="38" fillId="0" borderId="11" xfId="112" applyNumberFormat="1" applyFont="1" applyFill="1" applyBorder="1" applyAlignment="1">
      <alignment horizontal="center"/>
      <protection/>
    </xf>
    <xf numFmtId="0" fontId="34" fillId="26" borderId="11" xfId="0" applyFont="1" applyFill="1" applyBorder="1" applyAlignment="1">
      <alignment wrapText="1"/>
    </xf>
    <xf numFmtId="0" fontId="32" fillId="0" borderId="0" xfId="112" applyFont="1">
      <alignment/>
      <protection/>
    </xf>
    <xf numFmtId="186" fontId="32" fillId="27" borderId="11" xfId="112" applyNumberFormat="1" applyFont="1" applyFill="1" applyBorder="1" applyAlignment="1">
      <alignment horizontal="center"/>
      <protection/>
    </xf>
    <xf numFmtId="0" fontId="32" fillId="0" borderId="11" xfId="112" applyFont="1" applyBorder="1" applyAlignment="1">
      <alignment horizontal="center" vertical="center"/>
      <protection/>
    </xf>
    <xf numFmtId="4" fontId="27" fillId="26" borderId="11" xfId="0" applyNumberFormat="1" applyFont="1" applyFill="1" applyBorder="1" applyAlignment="1">
      <alignment horizontal="center" vertical="center"/>
    </xf>
    <xf numFmtId="0" fontId="32" fillId="0" borderId="13" xfId="112" applyFont="1" applyFill="1" applyBorder="1" applyAlignment="1">
      <alignment horizontal="center" wrapText="1"/>
      <protection/>
    </xf>
    <xf numFmtId="0" fontId="32" fillId="0" borderId="14" xfId="112" applyFont="1" applyFill="1" applyBorder="1" applyAlignment="1">
      <alignment horizontal="center" wrapText="1"/>
      <protection/>
    </xf>
    <xf numFmtId="0" fontId="32" fillId="0" borderId="15" xfId="112" applyFont="1" applyFill="1" applyBorder="1" applyAlignment="1">
      <alignment horizontal="center" wrapText="1"/>
      <protection/>
    </xf>
    <xf numFmtId="0" fontId="20" fillId="0" borderId="16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0" fillId="0" borderId="16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0" fontId="32" fillId="0" borderId="13" xfId="112" applyFont="1" applyBorder="1" applyAlignment="1">
      <alignment horizontal="center" wrapText="1"/>
      <protection/>
    </xf>
    <xf numFmtId="0" fontId="32" fillId="0" borderId="14" xfId="112" applyFont="1" applyBorder="1" applyAlignment="1">
      <alignment horizontal="center" wrapText="1"/>
      <protection/>
    </xf>
    <xf numFmtId="0" fontId="20" fillId="13" borderId="16" xfId="0" applyFont="1" applyFill="1" applyBorder="1" applyAlignment="1">
      <alignment horizontal="center" vertical="center" wrapText="1"/>
    </xf>
    <xf numFmtId="0" fontId="20" fillId="13" borderId="12" xfId="0" applyFont="1" applyFill="1" applyBorder="1" applyAlignment="1">
      <alignment horizontal="center" vertical="center" wrapText="1"/>
    </xf>
    <xf numFmtId="0" fontId="20" fillId="0" borderId="11" xfId="107" applyFont="1" applyBorder="1" applyAlignment="1">
      <alignment horizontal="center" vertical="center" wrapText="1"/>
      <protection/>
    </xf>
    <xf numFmtId="2" fontId="33" fillId="0" borderId="16" xfId="112" applyNumberFormat="1" applyFont="1" applyFill="1" applyBorder="1" applyAlignment="1">
      <alignment horizontal="center"/>
      <protection/>
    </xf>
    <xf numFmtId="2" fontId="33" fillId="0" borderId="17" xfId="112" applyNumberFormat="1" applyFont="1" applyFill="1" applyBorder="1" applyAlignment="1">
      <alignment horizontal="center"/>
      <protection/>
    </xf>
    <xf numFmtId="2" fontId="33" fillId="0" borderId="12" xfId="112" applyNumberFormat="1" applyFont="1" applyFill="1" applyBorder="1" applyAlignment="1">
      <alignment horizontal="center"/>
      <protection/>
    </xf>
    <xf numFmtId="0" fontId="27" fillId="0" borderId="0" xfId="112" applyFont="1" applyAlignment="1">
      <alignment wrapText="1"/>
      <protection/>
    </xf>
    <xf numFmtId="0" fontId="0" fillId="0" borderId="0" xfId="0" applyFont="1" applyAlignment="1">
      <alignment/>
    </xf>
    <xf numFmtId="0" fontId="31" fillId="0" borderId="0" xfId="112" applyFont="1" applyAlignment="1">
      <alignment horizontal="center" wrapText="1"/>
      <protection/>
    </xf>
    <xf numFmtId="0" fontId="31" fillId="0" borderId="0" xfId="112" applyFont="1" applyAlignment="1">
      <alignment horizontal="center"/>
      <protection/>
    </xf>
    <xf numFmtId="0" fontId="20" fillId="0" borderId="16" xfId="107" applyFont="1" applyFill="1" applyBorder="1" applyAlignment="1">
      <alignment horizontal="center" vertical="center" wrapText="1"/>
      <protection/>
    </xf>
    <xf numFmtId="0" fontId="20" fillId="0" borderId="12" xfId="107" applyFont="1" applyFill="1" applyBorder="1" applyAlignment="1">
      <alignment horizontal="center" vertical="center" wrapText="1"/>
      <protection/>
    </xf>
  </cellXfs>
  <cellStyles count="12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од " xfId="64"/>
    <cellStyle name="Вывод" xfId="65"/>
    <cellStyle name="Вычисление" xfId="66"/>
    <cellStyle name="Hyperlink" xfId="67"/>
    <cellStyle name="Currency" xfId="68"/>
    <cellStyle name="Currency [0]" xfId="69"/>
    <cellStyle name="Заголовок 1" xfId="70"/>
    <cellStyle name="Заголовок 2" xfId="71"/>
    <cellStyle name="Заголовок 3" xfId="72"/>
    <cellStyle name="Заголовок 4" xfId="73"/>
    <cellStyle name="Звичайний 10" xfId="74"/>
    <cellStyle name="Звичайний 11" xfId="75"/>
    <cellStyle name="Звичайний 12" xfId="76"/>
    <cellStyle name="Звичайний 13" xfId="77"/>
    <cellStyle name="Звичайний 14" xfId="78"/>
    <cellStyle name="Звичайний 15" xfId="79"/>
    <cellStyle name="Звичайний 16" xfId="80"/>
    <cellStyle name="Звичайний 17" xfId="81"/>
    <cellStyle name="Звичайний 18" xfId="82"/>
    <cellStyle name="Звичайний 19" xfId="83"/>
    <cellStyle name="Звичайний 2" xfId="84"/>
    <cellStyle name="Звичайний 20" xfId="85"/>
    <cellStyle name="Звичайний 3" xfId="86"/>
    <cellStyle name="Звичайний 4" xfId="87"/>
    <cellStyle name="Звичайний 5" xfId="88"/>
    <cellStyle name="Звичайний 6" xfId="89"/>
    <cellStyle name="Звичайний 7" xfId="90"/>
    <cellStyle name="Звичайний 8" xfId="91"/>
    <cellStyle name="Звичайний 9" xfId="92"/>
    <cellStyle name="Звичайний_Xl0000125" xfId="93"/>
    <cellStyle name="Звичайний_Додаток _ 3 зм_ни 4575" xfId="94"/>
    <cellStyle name="Итог" xfId="95"/>
    <cellStyle name="Контрольная ячейка" xfId="96"/>
    <cellStyle name="Название" xfId="97"/>
    <cellStyle name="Нейтральный" xfId="98"/>
    <cellStyle name="Обчислення" xfId="99"/>
    <cellStyle name="Обычный 10" xfId="100"/>
    <cellStyle name="Обычный 16" xfId="101"/>
    <cellStyle name="Обычный 18" xfId="102"/>
    <cellStyle name="Обычный 2" xfId="103"/>
    <cellStyle name="Обычный 2 2" xfId="104"/>
    <cellStyle name="Обычный 2 8" xfId="105"/>
    <cellStyle name="Обычный 2_дод. 9" xfId="106"/>
    <cellStyle name="Обычный 3" xfId="107"/>
    <cellStyle name="Обычный 3 2" xfId="108"/>
    <cellStyle name="Обычный 4" xfId="109"/>
    <cellStyle name="Обычный 5" xfId="110"/>
    <cellStyle name="Обычный 9 2" xfId="111"/>
    <cellStyle name="Обычный_дод 8 до бюджету 2012" xfId="112"/>
    <cellStyle name="Обычный_додаток 6" xfId="113"/>
    <cellStyle name="Followed Hyperlink" xfId="114"/>
    <cellStyle name="Підсумок" xfId="115"/>
    <cellStyle name="Плохой" xfId="116"/>
    <cellStyle name="Поганий" xfId="117"/>
    <cellStyle name="Пояснение" xfId="118"/>
    <cellStyle name="Примечание" xfId="119"/>
    <cellStyle name="Примітка" xfId="120"/>
    <cellStyle name="Percent" xfId="121"/>
    <cellStyle name="Результат" xfId="122"/>
    <cellStyle name="Связанная ячейка" xfId="123"/>
    <cellStyle name="Середній" xfId="124"/>
    <cellStyle name="Стиль 1" xfId="125"/>
    <cellStyle name="Текст пояснення" xfId="126"/>
    <cellStyle name="Текст предупреждения" xfId="127"/>
    <cellStyle name="Тысячи [0]_Розподіл (2)" xfId="128"/>
    <cellStyle name="Тысячи_Розподіл (2)" xfId="129"/>
    <cellStyle name="Comma" xfId="130"/>
    <cellStyle name="Comma [0]" xfId="131"/>
    <cellStyle name="Финансовый_дод 8 до бюджету 2012" xfId="132"/>
    <cellStyle name="Хороший" xfId="13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4"/>
  <sheetViews>
    <sheetView tabSelected="1" view="pageBreakPreview" zoomScale="76" zoomScaleNormal="67" zoomScaleSheetLayoutView="76" zoomScalePageLayoutView="0" workbookViewId="0" topLeftCell="A2">
      <pane xSplit="3" ySplit="9" topLeftCell="D11" activePane="bottomRight" state="frozen"/>
      <selection pane="topLeft" activeCell="A2" sqref="A2"/>
      <selection pane="topRight" activeCell="D2" sqref="D2"/>
      <selection pane="bottomLeft" activeCell="A11" sqref="A11"/>
      <selection pane="bottomRight" activeCell="J2" sqref="J1:Z16384"/>
    </sheetView>
  </sheetViews>
  <sheetFormatPr defaultColWidth="9.33203125" defaultRowHeight="12.75"/>
  <cols>
    <col min="1" max="1" width="8.5" style="2" customWidth="1"/>
    <col min="2" max="2" width="17.33203125" style="2" hidden="1" customWidth="1"/>
    <col min="3" max="3" width="145.33203125" style="2" customWidth="1"/>
    <col min="4" max="4" width="26.33203125" style="11" customWidth="1"/>
    <col min="5" max="5" width="23.33203125" style="2" customWidth="1"/>
    <col min="6" max="6" width="21.66015625" style="2" customWidth="1"/>
    <col min="7" max="7" width="22" style="2" customWidth="1"/>
    <col min="8" max="8" width="24.16015625" style="2" customWidth="1"/>
    <col min="9" max="9" width="23.66015625" style="2" customWidth="1"/>
    <col min="10" max="10" width="22.33203125" style="19" hidden="1" customWidth="1"/>
    <col min="11" max="11" width="0" style="2" hidden="1" customWidth="1"/>
    <col min="12" max="12" width="27.33203125" style="2" hidden="1" customWidth="1"/>
    <col min="13" max="13" width="15.5" style="2" hidden="1" customWidth="1"/>
    <col min="14" max="14" width="15" style="2" hidden="1" customWidth="1"/>
    <col min="15" max="15" width="17.83203125" style="2" hidden="1" customWidth="1"/>
    <col min="16" max="16" width="19.5" style="2" hidden="1" customWidth="1"/>
    <col min="17" max="17" width="16.83203125" style="2" hidden="1" customWidth="1"/>
    <col min="18" max="18" width="16.66015625" style="2" hidden="1" customWidth="1"/>
    <col min="19" max="19" width="17.66015625" style="2" hidden="1" customWidth="1"/>
    <col min="20" max="20" width="17" style="2" hidden="1" customWidth="1"/>
    <col min="21" max="21" width="17.33203125" style="2" hidden="1" customWidth="1"/>
    <col min="22" max="22" width="16" style="2" hidden="1" customWidth="1"/>
    <col min="23" max="23" width="16.5" style="2" hidden="1" customWidth="1"/>
    <col min="24" max="24" width="17" style="2" hidden="1" customWidth="1"/>
    <col min="25" max="25" width="18.83203125" style="2" hidden="1" customWidth="1"/>
    <col min="26" max="26" width="15.33203125" style="2" hidden="1" customWidth="1"/>
    <col min="27" max="16384" width="9.33203125" style="2" customWidth="1"/>
  </cols>
  <sheetData>
    <row r="1" spans="4:7" ht="74.25" customHeight="1" hidden="1">
      <c r="D1" s="102" t="s">
        <v>14</v>
      </c>
      <c r="E1" s="103"/>
      <c r="F1" s="24"/>
      <c r="G1" s="24"/>
    </row>
    <row r="2" spans="3:7" ht="39.75" customHeight="1">
      <c r="C2" s="78"/>
      <c r="D2" s="35"/>
      <c r="E2" s="24"/>
      <c r="F2" s="24"/>
      <c r="G2" s="24"/>
    </row>
    <row r="3" spans="1:9" ht="21" customHeight="1">
      <c r="A3" s="105" t="s">
        <v>16</v>
      </c>
      <c r="B3" s="105"/>
      <c r="C3" s="105"/>
      <c r="D3" s="105"/>
      <c r="E3" s="105"/>
      <c r="F3" s="105"/>
      <c r="G3" s="105"/>
      <c r="H3" s="105"/>
      <c r="I3" s="105"/>
    </row>
    <row r="4" spans="1:9" ht="20.25" customHeight="1">
      <c r="A4" s="104" t="s">
        <v>15</v>
      </c>
      <c r="B4" s="104"/>
      <c r="C4" s="104"/>
      <c r="D4" s="104"/>
      <c r="E4" s="104"/>
      <c r="F4" s="104"/>
      <c r="G4" s="104"/>
      <c r="H4" s="104"/>
      <c r="I4" s="104"/>
    </row>
    <row r="5" spans="1:13" ht="20.25" customHeight="1">
      <c r="A5" s="25"/>
      <c r="B5" s="25"/>
      <c r="C5" s="25"/>
      <c r="D5" s="25"/>
      <c r="E5" s="25"/>
      <c r="F5" s="25"/>
      <c r="G5" s="25"/>
      <c r="M5" s="83" t="s">
        <v>136</v>
      </c>
    </row>
    <row r="6" spans="3:9" ht="13.5" customHeight="1">
      <c r="C6" s="4"/>
      <c r="D6" s="3"/>
      <c r="E6" s="12"/>
      <c r="F6" s="12"/>
      <c r="G6" s="12"/>
      <c r="I6" s="12" t="s">
        <v>25</v>
      </c>
    </row>
    <row r="7" spans="1:10" ht="12" customHeight="1">
      <c r="A7" s="85" t="s">
        <v>3</v>
      </c>
      <c r="B7" s="13"/>
      <c r="C7" s="85" t="s">
        <v>0</v>
      </c>
      <c r="D7" s="98" t="s">
        <v>1</v>
      </c>
      <c r="E7" s="98" t="s">
        <v>19</v>
      </c>
      <c r="F7" s="98" t="s">
        <v>112</v>
      </c>
      <c r="G7" s="14" t="s">
        <v>113</v>
      </c>
      <c r="H7" s="106" t="s">
        <v>137</v>
      </c>
      <c r="I7" s="90" t="s">
        <v>2</v>
      </c>
      <c r="J7" s="92" t="s">
        <v>138</v>
      </c>
    </row>
    <row r="8" spans="1:25" ht="39.75" customHeight="1">
      <c r="A8" s="85"/>
      <c r="B8" s="1" t="s">
        <v>20</v>
      </c>
      <c r="C8" s="85"/>
      <c r="D8" s="98"/>
      <c r="E8" s="98"/>
      <c r="F8" s="98"/>
      <c r="G8" s="52" t="s">
        <v>114</v>
      </c>
      <c r="H8" s="107"/>
      <c r="I8" s="91"/>
      <c r="J8" s="93"/>
      <c r="L8" s="96" t="s">
        <v>139</v>
      </c>
      <c r="M8" s="90" t="s">
        <v>26</v>
      </c>
      <c r="N8" s="92" t="s">
        <v>27</v>
      </c>
      <c r="O8" s="90" t="s">
        <v>28</v>
      </c>
      <c r="P8" s="90" t="s">
        <v>29</v>
      </c>
      <c r="Q8" s="90" t="s">
        <v>30</v>
      </c>
      <c r="R8" s="90" t="s">
        <v>31</v>
      </c>
      <c r="S8" s="90" t="s">
        <v>32</v>
      </c>
      <c r="T8" s="90" t="s">
        <v>33</v>
      </c>
      <c r="U8" s="90" t="s">
        <v>34</v>
      </c>
      <c r="V8" s="90" t="s">
        <v>35</v>
      </c>
      <c r="W8" s="90" t="s">
        <v>36</v>
      </c>
      <c r="X8" s="90" t="s">
        <v>37</v>
      </c>
      <c r="Y8" s="90" t="s">
        <v>38</v>
      </c>
    </row>
    <row r="9" spans="1:25" ht="15" customHeight="1">
      <c r="A9" s="14">
        <v>1</v>
      </c>
      <c r="B9" s="14"/>
      <c r="C9" s="14">
        <v>2</v>
      </c>
      <c r="D9" s="14">
        <v>3</v>
      </c>
      <c r="E9" s="14">
        <v>4</v>
      </c>
      <c r="F9" s="14">
        <v>5</v>
      </c>
      <c r="G9" s="14">
        <v>6</v>
      </c>
      <c r="H9" s="14">
        <v>7</v>
      </c>
      <c r="I9" s="14">
        <v>8</v>
      </c>
      <c r="J9" s="74">
        <v>9</v>
      </c>
      <c r="L9" s="97"/>
      <c r="M9" s="91"/>
      <c r="N9" s="93"/>
      <c r="O9" s="91"/>
      <c r="P9" s="91"/>
      <c r="Q9" s="91"/>
      <c r="R9" s="91"/>
      <c r="S9" s="91"/>
      <c r="T9" s="91"/>
      <c r="U9" s="91"/>
      <c r="V9" s="91"/>
      <c r="W9" s="91"/>
      <c r="X9" s="91"/>
      <c r="Y9" s="91"/>
    </row>
    <row r="10" spans="1:25" s="15" customFormat="1" ht="19.5" customHeight="1">
      <c r="A10" s="94" t="s">
        <v>6</v>
      </c>
      <c r="B10" s="95"/>
      <c r="C10" s="95"/>
      <c r="D10" s="95"/>
      <c r="E10" s="95"/>
      <c r="F10" s="95"/>
      <c r="G10" s="95"/>
      <c r="H10" s="95"/>
      <c r="I10" s="95"/>
      <c r="J10" s="95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</row>
    <row r="11" spans="1:26" ht="37.5">
      <c r="A11" s="5">
        <v>1</v>
      </c>
      <c r="B11" s="6"/>
      <c r="C11" s="7" t="s">
        <v>4</v>
      </c>
      <c r="D11" s="8">
        <f>D12+D29</f>
        <v>192802809.36</v>
      </c>
      <c r="E11" s="8">
        <f>E12+E29</f>
        <v>121908716.29</v>
      </c>
      <c r="F11" s="8">
        <f>F12+F29</f>
        <v>70894093.07000001</v>
      </c>
      <c r="G11" s="8">
        <f>G12+G29</f>
        <v>70894093.07000001</v>
      </c>
      <c r="H11" s="8">
        <f>H12+H29</f>
        <v>91363354.52000001</v>
      </c>
      <c r="I11" s="38">
        <f aca="true" t="shared" si="0" ref="I11:I18">H11/D11*100</f>
        <v>47.38694151982351</v>
      </c>
      <c r="J11" s="38">
        <f>(H11/(M11+N11+O11+P11+Q11+R11+S11+V11+W11+O29+P29+Q29+R29+S29+T11+T29+U11+U29+V29+W29))*100</f>
        <v>75.47445993797349</v>
      </c>
      <c r="K11" s="40"/>
      <c r="L11" s="49">
        <f>M11+N11+O11+P11+Q11+R11+S11+T11+U11+V11+W11-H12</f>
        <v>17276470.499999993</v>
      </c>
      <c r="M11" s="46">
        <f>M12+M21</f>
        <v>3250000</v>
      </c>
      <c r="N11" s="46">
        <f aca="true" t="shared" si="1" ref="N11:X11">N12+N21</f>
        <v>3932800</v>
      </c>
      <c r="O11" s="46">
        <f>O12+O21</f>
        <v>3487931.91</v>
      </c>
      <c r="P11" s="46">
        <f t="shared" si="1"/>
        <v>5855560.18</v>
      </c>
      <c r="Q11" s="46">
        <f t="shared" si="1"/>
        <v>5190973.51</v>
      </c>
      <c r="R11" s="46">
        <f t="shared" si="1"/>
        <v>5561489.15</v>
      </c>
      <c r="S11" s="46">
        <f t="shared" si="1"/>
        <v>8638847.79</v>
      </c>
      <c r="T11" s="46">
        <f t="shared" si="1"/>
        <v>7188172.15</v>
      </c>
      <c r="U11" s="46">
        <f t="shared" si="1"/>
        <v>17538362.12</v>
      </c>
      <c r="V11" s="46">
        <f t="shared" si="1"/>
        <v>5806487.390000001</v>
      </c>
      <c r="W11" s="46">
        <f t="shared" si="1"/>
        <v>17408205.19</v>
      </c>
      <c r="X11" s="46">
        <f t="shared" si="1"/>
        <v>38049886.9</v>
      </c>
      <c r="Y11" s="47">
        <f>SUM(M11:X11)</f>
        <v>121908716.28999999</v>
      </c>
      <c r="Z11" s="48">
        <f>Y11-D12</f>
        <v>0</v>
      </c>
    </row>
    <row r="12" spans="1:26" ht="18.75">
      <c r="A12" s="9"/>
      <c r="B12" s="10"/>
      <c r="C12" s="36" t="s">
        <v>7</v>
      </c>
      <c r="D12" s="37">
        <f>SUM(D13:D20)+D21</f>
        <v>121908716.29</v>
      </c>
      <c r="E12" s="37">
        <f>SUM(E13:E20)+E21</f>
        <v>121908716.29</v>
      </c>
      <c r="F12" s="37"/>
      <c r="G12" s="37"/>
      <c r="H12" s="37">
        <f>H13+H16+H17+H18+H21</f>
        <v>66582358.89000001</v>
      </c>
      <c r="I12" s="54">
        <f t="shared" si="0"/>
        <v>54.61656960738718</v>
      </c>
      <c r="J12" s="79">
        <f>(H12/(M11+N11+O11+P11+Q11+R11+S11+T11+U11+V11+W11))*100</f>
        <v>79.39814969315542</v>
      </c>
      <c r="L12" s="45">
        <f>(M12+N12+O12+P12+Q12+R12+S12+T12+U12+V12+W12)-(H13+H16+H17+H18)</f>
        <v>2095101.2300000004</v>
      </c>
      <c r="M12" s="44">
        <v>250000</v>
      </c>
      <c r="N12" s="44">
        <v>932800</v>
      </c>
      <c r="O12" s="44">
        <f>942800+110000</f>
        <v>1052800</v>
      </c>
      <c r="P12" s="44">
        <f>942800+1000000-1122330-89264+2342000+758000</f>
        <v>3831206</v>
      </c>
      <c r="Q12" s="44">
        <f>942800+2000000+200000-500000+57000+916819.36</f>
        <v>3616619.36</v>
      </c>
      <c r="R12" s="44">
        <f>942800+2500000-217670-1011000+33000</f>
        <v>2247130</v>
      </c>
      <c r="S12" s="44">
        <f>942800+3000000+400000+500000+1011000-2399000-1548819.36+2350000</f>
        <v>4255980.64</v>
      </c>
      <c r="T12" s="44">
        <f>942800+2750000+240000-23000-2350000</f>
        <v>1559800</v>
      </c>
      <c r="U12" s="44">
        <f>942800+2250000+500000+89264-112000+3950000+2839499.93</f>
        <v>10459563.93</v>
      </c>
      <c r="V12" s="44">
        <f>942800+2500000-120000-3300000+138000+2857000</f>
        <v>3017800</v>
      </c>
      <c r="W12" s="44">
        <f>936600+1500000-650000-1016222.96-770000+1552326.72</f>
        <v>1552703.76</v>
      </c>
      <c r="X12" s="44">
        <f>342435+900000-14000+6745527+14617000-1961276.97-2087000-1552326.72</f>
        <v>16990358.310000002</v>
      </c>
      <c r="Y12" s="45">
        <f>SUM(M12:X12)</f>
        <v>49766762</v>
      </c>
      <c r="Z12" s="48"/>
    </row>
    <row r="13" spans="1:26" ht="18.75" customHeight="1">
      <c r="A13" s="9"/>
      <c r="B13" s="10"/>
      <c r="C13" s="16" t="s">
        <v>8</v>
      </c>
      <c r="D13" s="17">
        <f>E13</f>
        <v>39145527</v>
      </c>
      <c r="E13" s="17">
        <f>18400000+14000000+6745527</f>
        <v>39145527</v>
      </c>
      <c r="F13" s="17"/>
      <c r="G13" s="17"/>
      <c r="H13" s="17">
        <f>532303+727873+1251296+858646+1446936+1569996+1187113+1502691.34+2083769+5033364+3369856.24+929940.44+2850176.44</f>
        <v>23343960.46</v>
      </c>
      <c r="I13" s="17">
        <f t="shared" si="0"/>
        <v>59.63378768664936</v>
      </c>
      <c r="J13" s="99">
        <f>((H13+H16+H17+H18)/(M12+N12+O12+P12+Q12+R12+S12+T12+U12+V12+W12))*100</f>
        <v>93.60789777360714</v>
      </c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45">
        <f aca="true" t="shared" si="2" ref="Y13:Y81">SUM(M13:X13)</f>
        <v>0</v>
      </c>
      <c r="Z13" s="48"/>
    </row>
    <row r="14" spans="1:26" ht="18.75" customHeight="1" hidden="1">
      <c r="A14" s="9"/>
      <c r="B14" s="10"/>
      <c r="C14" s="16" t="s">
        <v>9</v>
      </c>
      <c r="D14" s="17">
        <f aca="true" t="shared" si="3" ref="D14:D19">E14</f>
        <v>0</v>
      </c>
      <c r="E14" s="17"/>
      <c r="F14" s="17"/>
      <c r="G14" s="17"/>
      <c r="H14" s="13"/>
      <c r="I14" s="17" t="e">
        <f t="shared" si="0"/>
        <v>#DIV/0!</v>
      </c>
      <c r="J14" s="100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45">
        <f t="shared" si="2"/>
        <v>0</v>
      </c>
      <c r="Z14" s="48"/>
    </row>
    <row r="15" spans="1:26" ht="18.75" customHeight="1" hidden="1">
      <c r="A15" s="9"/>
      <c r="B15" s="10"/>
      <c r="C15" s="16" t="s">
        <v>10</v>
      </c>
      <c r="D15" s="17">
        <f t="shared" si="3"/>
        <v>0</v>
      </c>
      <c r="E15" s="17"/>
      <c r="F15" s="17"/>
      <c r="G15" s="17"/>
      <c r="H15" s="13"/>
      <c r="I15" s="17" t="e">
        <f t="shared" si="0"/>
        <v>#DIV/0!</v>
      </c>
      <c r="J15" s="100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45">
        <f t="shared" si="2"/>
        <v>0</v>
      </c>
      <c r="Z15" s="48"/>
    </row>
    <row r="16" spans="1:26" s="19" customFormat="1" ht="18.75">
      <c r="A16" s="9"/>
      <c r="B16" s="18"/>
      <c r="C16" s="16" t="s">
        <v>11</v>
      </c>
      <c r="D16" s="17">
        <f t="shared" si="3"/>
        <v>5993800</v>
      </c>
      <c r="E16" s="17">
        <v>5993800</v>
      </c>
      <c r="F16" s="17"/>
      <c r="G16" s="17"/>
      <c r="H16" s="17">
        <f>31577.39+15917.61+121677.93+62675.88+102268.28+39092.55+52605.2+54734.36+188440.48+957995.29+82453.86+90143.4+306140.06+185523.83+118297.71+35911.15+980849.61+90100.36+66061.72+377335</f>
        <v>3959801.67</v>
      </c>
      <c r="I16" s="17">
        <f t="shared" si="0"/>
        <v>66.06496162701458</v>
      </c>
      <c r="J16" s="100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5"/>
      <c r="Z16" s="48"/>
    </row>
    <row r="17" spans="1:26" ht="18.75">
      <c r="A17" s="9"/>
      <c r="B17" s="10"/>
      <c r="C17" s="16" t="s">
        <v>17</v>
      </c>
      <c r="D17" s="17">
        <f t="shared" si="3"/>
        <v>4387435</v>
      </c>
      <c r="E17" s="17">
        <f>3770435+617000</f>
        <v>4387435</v>
      </c>
      <c r="F17" s="17"/>
      <c r="G17" s="17"/>
      <c r="H17" s="17">
        <f>375177+377002+518168.27+377588+377041+376903+377045+400325</f>
        <v>3179249.27</v>
      </c>
      <c r="I17" s="17">
        <f t="shared" si="0"/>
        <v>72.46259534329283</v>
      </c>
      <c r="J17" s="100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45"/>
      <c r="Z17" s="48"/>
    </row>
    <row r="18" spans="1:26" ht="36.75" customHeight="1">
      <c r="A18" s="9"/>
      <c r="B18" s="10"/>
      <c r="C18" s="16" t="s">
        <v>12</v>
      </c>
      <c r="D18" s="17">
        <f t="shared" si="3"/>
        <v>240000</v>
      </c>
      <c r="E18" s="17">
        <v>240000</v>
      </c>
      <c r="F18" s="17"/>
      <c r="G18" s="17"/>
      <c r="H18" s="17">
        <f>16536.07+44507.89+99499.45+37747.65</f>
        <v>198291.06</v>
      </c>
      <c r="I18" s="17">
        <f t="shared" si="0"/>
        <v>82.621275</v>
      </c>
      <c r="J18" s="101"/>
      <c r="L18" s="80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45"/>
      <c r="Z18" s="48"/>
    </row>
    <row r="19" spans="1:26" ht="18.75" hidden="1">
      <c r="A19" s="9"/>
      <c r="B19" s="10"/>
      <c r="C19" s="16" t="s">
        <v>18</v>
      </c>
      <c r="D19" s="17">
        <f t="shared" si="3"/>
        <v>0</v>
      </c>
      <c r="E19" s="17"/>
      <c r="F19" s="17"/>
      <c r="G19" s="17"/>
      <c r="H19" s="13"/>
      <c r="I19" s="13"/>
      <c r="J19" s="51" t="e">
        <f>(H19/(M19+N19))*100</f>
        <v>#DIV/0!</v>
      </c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45">
        <f t="shared" si="2"/>
        <v>0</v>
      </c>
      <c r="Z19" s="48">
        <f>Y19-D19</f>
        <v>0</v>
      </c>
    </row>
    <row r="20" spans="1:26" ht="112.5" hidden="1">
      <c r="A20" s="9"/>
      <c r="B20" s="10"/>
      <c r="C20" s="16" t="s">
        <v>5</v>
      </c>
      <c r="D20" s="17">
        <f>E20</f>
        <v>0</v>
      </c>
      <c r="E20" s="17">
        <v>0</v>
      </c>
      <c r="F20" s="17"/>
      <c r="G20" s="17"/>
      <c r="H20" s="13"/>
      <c r="I20" s="13"/>
      <c r="J20" s="51" t="e">
        <f>(H20/(M20+N20))*100</f>
        <v>#DIV/0!</v>
      </c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45">
        <f t="shared" si="2"/>
        <v>0</v>
      </c>
      <c r="Z20" s="48">
        <f>Y20-D20</f>
        <v>0</v>
      </c>
    </row>
    <row r="21" spans="1:26" s="34" customFormat="1" ht="39">
      <c r="A21" s="30"/>
      <c r="B21" s="31"/>
      <c r="C21" s="32" t="s">
        <v>21</v>
      </c>
      <c r="D21" s="33">
        <f>E21</f>
        <v>72141954.29</v>
      </c>
      <c r="E21" s="33">
        <f>SUM(E22:E28)</f>
        <v>72141954.29</v>
      </c>
      <c r="F21" s="33"/>
      <c r="G21" s="33"/>
      <c r="H21" s="33">
        <f>SUM(H22:H28)</f>
        <v>35901056.43000001</v>
      </c>
      <c r="I21" s="33">
        <f>H21/D21*100</f>
        <v>49.76446338795184</v>
      </c>
      <c r="J21" s="99">
        <f>(H21/(M21+N21+O21+P21+Q21+R21+S21+T21+U21+V21+W21))*100</f>
        <v>70.28064141049593</v>
      </c>
      <c r="L21" s="50">
        <f>(M21+N21+O21+P21+Q21+R21+S21+T21+U21+V21+W21)-H21</f>
        <v>15181369.269999988</v>
      </c>
      <c r="M21" s="44">
        <v>3000000</v>
      </c>
      <c r="N21" s="44">
        <v>3000000</v>
      </c>
      <c r="O21" s="44">
        <f>2423724.91+11407</f>
        <v>2435131.91</v>
      </c>
      <c r="P21" s="44">
        <f>3024354.18-1000000</f>
        <v>2024354.1800000002</v>
      </c>
      <c r="Q21" s="44">
        <f>4124354.15-100000-2000000-500000+20000+30000</f>
        <v>1574354.15</v>
      </c>
      <c r="R21" s="44">
        <f>4624354.15-2500000+1000000+190005</f>
        <v>3314359.1500000004</v>
      </c>
      <c r="S21" s="44">
        <f>5124354.15-3000000+500000+326666-544000-257000+722086.65+546506.35+964254</f>
        <v>4382867.15</v>
      </c>
      <c r="T21" s="44">
        <f>5324354.15-3500000+616667-722086.65-577913.35+4487351</f>
        <v>5628372.15</v>
      </c>
      <c r="U21" s="44">
        <f>4924354.15-3000000+656667+4497777.04</f>
        <v>7078798.19</v>
      </c>
      <c r="V21" s="44">
        <f>4324354.15-2500000+1400000+257000-908000+215333.24</f>
        <v>2788687.3900000006</v>
      </c>
      <c r="W21" s="44">
        <f>3424354.15-1500000+3500000+544000-2835800-1263777.04-13275.68+14000000</f>
        <v>15855501.43</v>
      </c>
      <c r="X21" s="44">
        <f>3124354.15-900000+3365442-2835810+34833600-2326000-202057.56-14000000</f>
        <v>21059528.589999996</v>
      </c>
      <c r="Y21" s="45">
        <f t="shared" si="2"/>
        <v>72141954.28999999</v>
      </c>
      <c r="Z21" s="48">
        <f>Y21-D21</f>
        <v>0</v>
      </c>
    </row>
    <row r="22" spans="1:26" s="29" customFormat="1" ht="18.75">
      <c r="A22" s="26"/>
      <c r="B22" s="27"/>
      <c r="C22" s="20" t="s">
        <v>8</v>
      </c>
      <c r="D22" s="21">
        <f aca="true" t="shared" si="4" ref="D22:D28">E22</f>
        <v>25287917.5</v>
      </c>
      <c r="E22" s="21">
        <f>6996363.05+20486454.45-100000-19900000+5000000+12805100</f>
        <v>25287917.5</v>
      </c>
      <c r="F22" s="21"/>
      <c r="G22" s="21"/>
      <c r="H22" s="21">
        <f>88816.34+83807+156466.99+142148.3+401527+150358.86+339375.78+15784.83+403050+514007+596420.64+220250+57292.8+368900+360900+173932.16+522947.84+84898.01+489060.8+397703.54+846541.65+182015.87+174692.65+147450+11776.39+293497.69+435067.04+825555.82+173475.2+618189.47+77632.13+95575.05+21000.16+320020.87+1401262.88+208389.41+120383+817511.52+46904.96+5136+51449.91+592641.6</f>
        <v>13033817.160000002</v>
      </c>
      <c r="I22" s="21">
        <f aca="true" t="shared" si="5" ref="I22:I28">H22/D22*100</f>
        <v>51.541678590180474</v>
      </c>
      <c r="J22" s="100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5">
        <f t="shared" si="2"/>
        <v>0</v>
      </c>
      <c r="Z22" s="48"/>
    </row>
    <row r="23" spans="1:26" s="29" customFormat="1" ht="18.75">
      <c r="A23" s="26"/>
      <c r="B23" s="27"/>
      <c r="C23" s="20" t="s">
        <v>9</v>
      </c>
      <c r="D23" s="21">
        <f t="shared" si="4"/>
        <v>2177725.76</v>
      </c>
      <c r="E23" s="21">
        <f>2377725.76-200000</f>
        <v>2177725.76</v>
      </c>
      <c r="F23" s="21"/>
      <c r="G23" s="21"/>
      <c r="H23" s="21">
        <f>3018.28+221000+2320.65+77508.36+435632.12+3420+260295.43+449818+464448</f>
        <v>1917460.8399999999</v>
      </c>
      <c r="I23" s="21">
        <f t="shared" si="5"/>
        <v>88.0487743323567</v>
      </c>
      <c r="J23" s="100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5">
        <f t="shared" si="2"/>
        <v>0</v>
      </c>
      <c r="Z23" s="48"/>
    </row>
    <row r="24" spans="1:26" s="29" customFormat="1" ht="18.75">
      <c r="A24" s="26"/>
      <c r="B24" s="27"/>
      <c r="C24" s="20" t="s">
        <v>10</v>
      </c>
      <c r="D24" s="21">
        <f t="shared" si="4"/>
        <v>1090451.52</v>
      </c>
      <c r="E24" s="21">
        <v>1090451.52</v>
      </c>
      <c r="F24" s="21"/>
      <c r="G24" s="21"/>
      <c r="H24" s="21">
        <f>2820.64+34500+52475.54+162250+142000+248550+354532.41+6450.14+17528.4</f>
        <v>1021107.1299999999</v>
      </c>
      <c r="I24" s="21">
        <f t="shared" si="5"/>
        <v>93.64076359855044</v>
      </c>
      <c r="J24" s="100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5">
        <f t="shared" si="2"/>
        <v>0</v>
      </c>
      <c r="Z24" s="48"/>
    </row>
    <row r="25" spans="1:26" s="29" customFormat="1" ht="37.5">
      <c r="A25" s="26"/>
      <c r="B25" s="27"/>
      <c r="C25" s="20" t="s">
        <v>24</v>
      </c>
      <c r="D25" s="21">
        <f t="shared" si="4"/>
        <v>1371209.6</v>
      </c>
      <c r="E25" s="21">
        <v>1371209.6</v>
      </c>
      <c r="F25" s="21"/>
      <c r="G25" s="21"/>
      <c r="H25" s="21">
        <f>26983.36+34475.26+63440+49627.68+79670+34437.03+5002.5+63090+20955.76+29601.77+67621.66+62553.1+20194.29+13201.67+134900.02+88289.97+3238.8</f>
        <v>797282.8700000001</v>
      </c>
      <c r="I25" s="21">
        <f t="shared" si="5"/>
        <v>58.14449300821698</v>
      </c>
      <c r="J25" s="100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5">
        <f t="shared" si="2"/>
        <v>0</v>
      </c>
      <c r="Z25" s="48"/>
    </row>
    <row r="26" spans="1:26" s="29" customFormat="1" ht="18.75">
      <c r="A26" s="26"/>
      <c r="B26" s="27"/>
      <c r="C26" s="28" t="s">
        <v>22</v>
      </c>
      <c r="D26" s="21">
        <f t="shared" si="4"/>
        <v>4936720.07</v>
      </c>
      <c r="E26" s="21">
        <f>4436720.07+500000</f>
        <v>4936720.07</v>
      </c>
      <c r="F26" s="21"/>
      <c r="G26" s="21"/>
      <c r="H26" s="21">
        <f>72895+67562+82967+104083+126739+197420+70879+108451+430425.6+192221+104308+1088465+84059.88+315095+357655+344390.16+547577+73996</f>
        <v>4369188.640000001</v>
      </c>
      <c r="I26" s="21">
        <f t="shared" si="5"/>
        <v>88.50387662349266</v>
      </c>
      <c r="J26" s="100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5">
        <f t="shared" si="2"/>
        <v>0</v>
      </c>
      <c r="Z26" s="48"/>
    </row>
    <row r="27" spans="1:26" s="29" customFormat="1" ht="18.75">
      <c r="A27" s="26"/>
      <c r="B27" s="27"/>
      <c r="C27" s="20" t="s">
        <v>17</v>
      </c>
      <c r="D27" s="21">
        <f t="shared" si="4"/>
        <v>1541862.2</v>
      </c>
      <c r="E27" s="21">
        <f>1041862.2+200000+300000</f>
        <v>1541862.2</v>
      </c>
      <c r="F27" s="21"/>
      <c r="G27" s="21"/>
      <c r="H27" s="21">
        <f>86531.11+203443.22+192114.36+217561.1</f>
        <v>699649.79</v>
      </c>
      <c r="I27" s="21">
        <f t="shared" si="5"/>
        <v>45.37693381418911</v>
      </c>
      <c r="J27" s="100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5">
        <f t="shared" si="2"/>
        <v>0</v>
      </c>
      <c r="Z27" s="48"/>
    </row>
    <row r="28" spans="1:26" s="29" customFormat="1" ht="75">
      <c r="A28" s="26"/>
      <c r="B28" s="27"/>
      <c r="C28" s="20" t="s">
        <v>23</v>
      </c>
      <c r="D28" s="21">
        <f t="shared" si="4"/>
        <v>35736067.64</v>
      </c>
      <c r="E28" s="21">
        <f>8642125.64+5865442+21228500</f>
        <v>35736067.64</v>
      </c>
      <c r="F28" s="21"/>
      <c r="G28" s="21"/>
      <c r="H28" s="21">
        <f>254700+197500+514034.85+725785+539765+84035.02+74217.79+474252.78+120451.82+1437061.98+832560+503365.09+120400.53+395900+16969.93+220274+1033956+38000+184876+143900.67+16320+142740+206551.83+293614.08+292005.58+821105.42+406214.5+69920.38+601367.87+364526.91+45956.77+50312.64+7500+323872.72+11758.61+350288.01+274765.05+41364.73+342437.77+1108065.31+68033.66+311821.7</f>
        <v>14062550</v>
      </c>
      <c r="I28" s="21">
        <f t="shared" si="5"/>
        <v>39.35113997898175</v>
      </c>
      <c r="J28" s="101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5">
        <f t="shared" si="2"/>
        <v>0</v>
      </c>
      <c r="Z28" s="48"/>
    </row>
    <row r="29" spans="1:26" ht="18.75">
      <c r="A29" s="26"/>
      <c r="B29" s="27"/>
      <c r="C29" s="53" t="s">
        <v>39</v>
      </c>
      <c r="D29" s="54">
        <f aca="true" t="shared" si="6" ref="D29:D85">E29+F29</f>
        <v>70894093.07000001</v>
      </c>
      <c r="E29" s="21"/>
      <c r="F29" s="54">
        <f aca="true" t="shared" si="7" ref="F29:F85">G29</f>
        <v>70894093.07000001</v>
      </c>
      <c r="G29" s="54">
        <f>SUM(G30:G85)</f>
        <v>70894093.07000001</v>
      </c>
      <c r="H29" s="54">
        <f>SUM(H30:H85)</f>
        <v>24780995.63</v>
      </c>
      <c r="I29" s="54">
        <f>H29/D29*100</f>
        <v>34.954951191111974</v>
      </c>
      <c r="J29" s="79">
        <f>(H29/(M29+N29+O29+P29+Q29+R29+S29+T29+U29+V29+W29))*100</f>
        <v>66.62778480398272</v>
      </c>
      <c r="L29" s="50">
        <f>(M29+N29+O29+P29+Q29+R29+S29+T29+U29+V29+W29)-H29</f>
        <v>12412189.919999998</v>
      </c>
      <c r="M29" s="65">
        <f>SUM(M30:M85)</f>
        <v>0</v>
      </c>
      <c r="N29" s="65">
        <f aca="true" t="shared" si="8" ref="N29:X29">SUM(N30:N85)</f>
        <v>0</v>
      </c>
      <c r="O29" s="73">
        <f t="shared" si="8"/>
        <v>2104750</v>
      </c>
      <c r="P29" s="73">
        <f t="shared" si="8"/>
        <v>8151111.27</v>
      </c>
      <c r="Q29" s="73">
        <f t="shared" si="8"/>
        <v>4448947.61</v>
      </c>
      <c r="R29" s="73">
        <f t="shared" si="8"/>
        <v>2846064.12</v>
      </c>
      <c r="S29" s="73">
        <f t="shared" si="8"/>
        <v>8179235.73</v>
      </c>
      <c r="T29" s="73">
        <f t="shared" si="8"/>
        <v>2414356.55</v>
      </c>
      <c r="U29" s="73">
        <f t="shared" si="8"/>
        <v>665928.1099999999</v>
      </c>
      <c r="V29" s="73">
        <f t="shared" si="8"/>
        <v>2032838.79</v>
      </c>
      <c r="W29" s="73">
        <f t="shared" si="8"/>
        <v>6349953.37</v>
      </c>
      <c r="X29" s="73">
        <f t="shared" si="8"/>
        <v>33700907.519999996</v>
      </c>
      <c r="Y29" s="45">
        <f t="shared" si="2"/>
        <v>70894093.07</v>
      </c>
      <c r="Z29" s="48">
        <f aca="true" t="shared" si="9" ref="Z29:Z92">Y29-D29</f>
        <v>0</v>
      </c>
    </row>
    <row r="30" spans="1:26" ht="18.75">
      <c r="A30" s="26"/>
      <c r="B30" s="27"/>
      <c r="C30" s="55" t="s">
        <v>40</v>
      </c>
      <c r="D30" s="17">
        <f t="shared" si="6"/>
        <v>1109220</v>
      </c>
      <c r="E30" s="21"/>
      <c r="F30" s="56">
        <f t="shared" si="7"/>
        <v>1109220</v>
      </c>
      <c r="G30" s="56">
        <f>150000+959220</f>
        <v>1109220</v>
      </c>
      <c r="H30" s="56">
        <f>26000+27000</f>
        <v>53000</v>
      </c>
      <c r="I30" s="17">
        <f aca="true" t="shared" si="10" ref="I30:I93">H30/D30*100</f>
        <v>4.778132381312995</v>
      </c>
      <c r="J30" s="51">
        <f>(H30/(M30+N30+O30+P30+Q30+R30+S30+T30+U30+V30+W30))*100</f>
        <v>100</v>
      </c>
      <c r="L30" s="45">
        <f>(M30+N30+O30+P30+Q30+R30+S30+T30+U30+V30+W30)-H30</f>
        <v>0</v>
      </c>
      <c r="M30" s="13"/>
      <c r="N30" s="13"/>
      <c r="O30" s="69"/>
      <c r="P30" s="69">
        <f>26000</f>
        <v>26000</v>
      </c>
      <c r="Q30" s="69">
        <f>12000-12000</f>
        <v>0</v>
      </c>
      <c r="R30" s="69">
        <v>27000</v>
      </c>
      <c r="S30" s="69"/>
      <c r="T30" s="69">
        <f>138000-14000-27000</f>
        <v>97000</v>
      </c>
      <c r="U30" s="70"/>
      <c r="V30" s="70">
        <f>-97000</f>
        <v>-97000</v>
      </c>
      <c r="W30" s="70"/>
      <c r="X30" s="75">
        <f>959220+97000</f>
        <v>1056220</v>
      </c>
      <c r="Y30" s="45">
        <f t="shared" si="2"/>
        <v>1109220</v>
      </c>
      <c r="Z30" s="48">
        <f t="shared" si="9"/>
        <v>0</v>
      </c>
    </row>
    <row r="31" spans="1:26" ht="18.75">
      <c r="A31" s="26"/>
      <c r="B31" s="27"/>
      <c r="C31" s="55" t="s">
        <v>41</v>
      </c>
      <c r="D31" s="17">
        <f t="shared" si="6"/>
        <v>407256</v>
      </c>
      <c r="E31" s="21"/>
      <c r="F31" s="56">
        <f t="shared" si="7"/>
        <v>407256</v>
      </c>
      <c r="G31" s="56">
        <f>130000+277256</f>
        <v>407256</v>
      </c>
      <c r="H31" s="56">
        <f>20000</f>
        <v>20000</v>
      </c>
      <c r="I31" s="17">
        <f t="shared" si="10"/>
        <v>4.910915984049345</v>
      </c>
      <c r="J31" s="51">
        <f aca="true" t="shared" si="11" ref="J31:J85">(H31/(M31+N31+O31+P31+Q31+R31+S31+T31+U31+V31+W31))*100</f>
        <v>100</v>
      </c>
      <c r="L31" s="45">
        <f aca="true" t="shared" si="12" ref="L31:L85">(M31+N31+O31+P31+Q31+R31+S31+T31+U31+V31+W31)-H31</f>
        <v>0</v>
      </c>
      <c r="M31" s="13"/>
      <c r="N31" s="13"/>
      <c r="O31" s="69"/>
      <c r="P31" s="69">
        <f>20000</f>
        <v>20000</v>
      </c>
      <c r="Q31" s="69">
        <f>12000-12000</f>
        <v>0</v>
      </c>
      <c r="R31" s="69"/>
      <c r="S31" s="69"/>
      <c r="T31" s="69">
        <f>118000-8000</f>
        <v>110000</v>
      </c>
      <c r="U31" s="70"/>
      <c r="V31" s="70">
        <f>-110000</f>
        <v>-110000</v>
      </c>
      <c r="W31" s="70"/>
      <c r="X31" s="75">
        <f>277256+110000</f>
        <v>387256</v>
      </c>
      <c r="Y31" s="45">
        <f t="shared" si="2"/>
        <v>407256</v>
      </c>
      <c r="Z31" s="48">
        <f t="shared" si="9"/>
        <v>0</v>
      </c>
    </row>
    <row r="32" spans="1:26" ht="37.5">
      <c r="A32" s="26"/>
      <c r="B32" s="27"/>
      <c r="C32" s="55" t="s">
        <v>42</v>
      </c>
      <c r="D32" s="17">
        <f t="shared" si="6"/>
        <v>1141392</v>
      </c>
      <c r="E32" s="21"/>
      <c r="F32" s="56">
        <f t="shared" si="7"/>
        <v>1141392</v>
      </c>
      <c r="G32" s="57">
        <f>600000+119556.55+421835.45</f>
        <v>1141392</v>
      </c>
      <c r="H32" s="56">
        <f>30000+25000+490000+580337+15168</f>
        <v>1140505</v>
      </c>
      <c r="I32" s="56">
        <f t="shared" si="10"/>
        <v>99.92228787305325</v>
      </c>
      <c r="J32" s="51">
        <f t="shared" si="11"/>
        <v>99.92228787305325</v>
      </c>
      <c r="L32" s="45">
        <f t="shared" si="12"/>
        <v>887</v>
      </c>
      <c r="M32" s="13"/>
      <c r="N32" s="13"/>
      <c r="O32" s="69"/>
      <c r="P32" s="69">
        <f>30000+570000-55000</f>
        <v>545000</v>
      </c>
      <c r="Q32" s="69"/>
      <c r="R32" s="69">
        <f>25000-25000</f>
        <v>0</v>
      </c>
      <c r="S32" s="69">
        <f>400000-5000-395000+55000+121835.45-171000</f>
        <v>5835.450000000012</v>
      </c>
      <c r="T32" s="69">
        <f>69556.55+300000-369000</f>
        <v>556.5499999999884</v>
      </c>
      <c r="U32" s="70">
        <f>590000</f>
        <v>590000</v>
      </c>
      <c r="V32" s="70">
        <f>175000-175000+540000-540000</f>
        <v>0</v>
      </c>
      <c r="W32" s="70"/>
      <c r="X32" s="70">
        <f>50000-50000</f>
        <v>0</v>
      </c>
      <c r="Y32" s="45">
        <f t="shared" si="2"/>
        <v>1141392</v>
      </c>
      <c r="Z32" s="48">
        <f t="shared" si="9"/>
        <v>0</v>
      </c>
    </row>
    <row r="33" spans="1:26" ht="37.5">
      <c r="A33" s="26"/>
      <c r="B33" s="27"/>
      <c r="C33" s="55" t="s">
        <v>43</v>
      </c>
      <c r="D33" s="17">
        <f t="shared" si="6"/>
        <v>115000</v>
      </c>
      <c r="E33" s="21"/>
      <c r="F33" s="56">
        <f t="shared" si="7"/>
        <v>115000</v>
      </c>
      <c r="G33" s="56">
        <v>115000</v>
      </c>
      <c r="H33" s="56">
        <f>2376</f>
        <v>2376</v>
      </c>
      <c r="I33" s="56">
        <f t="shared" si="10"/>
        <v>2.066086956521739</v>
      </c>
      <c r="J33" s="51">
        <f t="shared" si="11"/>
        <v>2.066086956521739</v>
      </c>
      <c r="L33" s="45">
        <f t="shared" si="12"/>
        <v>112624</v>
      </c>
      <c r="M33" s="13"/>
      <c r="N33" s="13"/>
      <c r="O33" s="69"/>
      <c r="P33" s="69"/>
      <c r="Q33" s="69">
        <f>115000-115000</f>
        <v>0</v>
      </c>
      <c r="R33" s="69"/>
      <c r="S33" s="69">
        <f>115000</f>
        <v>115000</v>
      </c>
      <c r="T33" s="69"/>
      <c r="U33" s="70"/>
      <c r="V33" s="70"/>
      <c r="W33" s="70"/>
      <c r="X33" s="70"/>
      <c r="Y33" s="45">
        <f t="shared" si="2"/>
        <v>115000</v>
      </c>
      <c r="Z33" s="48">
        <f t="shared" si="9"/>
        <v>0</v>
      </c>
    </row>
    <row r="34" spans="1:26" ht="37.5">
      <c r="A34" s="26"/>
      <c r="B34" s="27"/>
      <c r="C34" s="55" t="s">
        <v>44</v>
      </c>
      <c r="D34" s="17">
        <f t="shared" si="6"/>
        <v>650000</v>
      </c>
      <c r="E34" s="21"/>
      <c r="F34" s="56">
        <f t="shared" si="7"/>
        <v>650000</v>
      </c>
      <c r="G34" s="57">
        <v>650000</v>
      </c>
      <c r="H34" s="56">
        <v>500000</v>
      </c>
      <c r="I34" s="17">
        <f t="shared" si="10"/>
        <v>76.92307692307693</v>
      </c>
      <c r="J34" s="51">
        <f t="shared" si="11"/>
        <v>76.92307692307693</v>
      </c>
      <c r="L34" s="45">
        <f t="shared" si="12"/>
        <v>150000</v>
      </c>
      <c r="M34" s="13"/>
      <c r="N34" s="13"/>
      <c r="O34" s="69">
        <v>286000</v>
      </c>
      <c r="P34" s="69">
        <v>17000</v>
      </c>
      <c r="Q34" s="69">
        <f>115000-50000</f>
        <v>65000</v>
      </c>
      <c r="R34" s="69">
        <v>132000</v>
      </c>
      <c r="S34" s="69">
        <f>650000-550000</f>
        <v>100000</v>
      </c>
      <c r="T34" s="69">
        <f>50000</f>
        <v>50000</v>
      </c>
      <c r="U34" s="70"/>
      <c r="V34" s="70"/>
      <c r="W34" s="70"/>
      <c r="X34" s="70"/>
      <c r="Y34" s="45">
        <f t="shared" si="2"/>
        <v>650000</v>
      </c>
      <c r="Z34" s="48">
        <f t="shared" si="9"/>
        <v>0</v>
      </c>
    </row>
    <row r="35" spans="1:26" ht="37.5">
      <c r="A35" s="26"/>
      <c r="B35" s="27"/>
      <c r="C35" s="55" t="s">
        <v>45</v>
      </c>
      <c r="D35" s="17">
        <f t="shared" si="6"/>
        <v>888000</v>
      </c>
      <c r="E35" s="21"/>
      <c r="F35" s="56">
        <f t="shared" si="7"/>
        <v>888000</v>
      </c>
      <c r="G35" s="56">
        <f>789000+99000</f>
        <v>888000</v>
      </c>
      <c r="H35" s="56">
        <f>700000+171639.68+11033</f>
        <v>882672.6799999999</v>
      </c>
      <c r="I35" s="17">
        <f t="shared" si="10"/>
        <v>99.40007657657657</v>
      </c>
      <c r="J35" s="51">
        <f t="shared" si="11"/>
        <v>99.99999999999999</v>
      </c>
      <c r="L35" s="45">
        <f t="shared" si="12"/>
        <v>0</v>
      </c>
      <c r="M35" s="13"/>
      <c r="N35" s="13"/>
      <c r="O35" s="69"/>
      <c r="P35" s="69"/>
      <c r="Q35" s="69">
        <f>789000-89000</f>
        <v>700000</v>
      </c>
      <c r="R35" s="69"/>
      <c r="S35" s="69">
        <f>89000+99000</f>
        <v>188000</v>
      </c>
      <c r="T35" s="69"/>
      <c r="U35" s="70">
        <f>-5327.32</f>
        <v>-5327.32</v>
      </c>
      <c r="V35" s="70"/>
      <c r="W35" s="70"/>
      <c r="X35" s="70">
        <f>5327.32</f>
        <v>5327.32</v>
      </c>
      <c r="Y35" s="45">
        <f t="shared" si="2"/>
        <v>888000</v>
      </c>
      <c r="Z35" s="48">
        <f t="shared" si="9"/>
        <v>0</v>
      </c>
    </row>
    <row r="36" spans="1:26" ht="18.75">
      <c r="A36" s="26"/>
      <c r="B36" s="27"/>
      <c r="C36" s="55" t="s">
        <v>119</v>
      </c>
      <c r="D36" s="17">
        <f t="shared" si="6"/>
        <v>350000</v>
      </c>
      <c r="E36" s="21"/>
      <c r="F36" s="56">
        <f t="shared" si="7"/>
        <v>350000</v>
      </c>
      <c r="G36" s="56">
        <v>350000</v>
      </c>
      <c r="H36" s="56"/>
      <c r="I36" s="17"/>
      <c r="J36" s="81" t="e">
        <f t="shared" si="11"/>
        <v>#DIV/0!</v>
      </c>
      <c r="L36" s="45">
        <f t="shared" si="12"/>
        <v>0</v>
      </c>
      <c r="M36" s="13"/>
      <c r="N36" s="13"/>
      <c r="O36" s="69"/>
      <c r="P36" s="69"/>
      <c r="Q36" s="69"/>
      <c r="R36" s="69"/>
      <c r="S36" s="69"/>
      <c r="T36" s="69"/>
      <c r="U36" s="70"/>
      <c r="V36" s="70"/>
      <c r="W36" s="70"/>
      <c r="X36" s="75">
        <f>350000</f>
        <v>350000</v>
      </c>
      <c r="Y36" s="45">
        <f t="shared" si="2"/>
        <v>350000</v>
      </c>
      <c r="Z36" s="48">
        <f t="shared" si="9"/>
        <v>0</v>
      </c>
    </row>
    <row r="37" spans="1:26" ht="37.5">
      <c r="A37" s="26"/>
      <c r="B37" s="27"/>
      <c r="C37" s="55" t="s">
        <v>46</v>
      </c>
      <c r="D37" s="17">
        <f t="shared" si="6"/>
        <v>328000</v>
      </c>
      <c r="E37" s="21"/>
      <c r="F37" s="56">
        <f t="shared" si="7"/>
        <v>328000</v>
      </c>
      <c r="G37" s="56">
        <f>294000+34000</f>
        <v>328000</v>
      </c>
      <c r="H37" s="56">
        <f>270000+49985.45</f>
        <v>319985.45</v>
      </c>
      <c r="I37" s="17">
        <f t="shared" si="10"/>
        <v>97.55653963414635</v>
      </c>
      <c r="J37" s="51">
        <f t="shared" si="11"/>
        <v>100</v>
      </c>
      <c r="L37" s="45">
        <f t="shared" si="12"/>
        <v>0</v>
      </c>
      <c r="M37" s="13"/>
      <c r="N37" s="13"/>
      <c r="O37" s="69"/>
      <c r="P37" s="69">
        <f>294000-294000+39000</f>
        <v>39000</v>
      </c>
      <c r="Q37" s="69">
        <f>255000</f>
        <v>255000</v>
      </c>
      <c r="R37" s="69">
        <f>34000</f>
        <v>34000</v>
      </c>
      <c r="S37" s="69">
        <f>294000-294000+34000-34000</f>
        <v>0</v>
      </c>
      <c r="T37" s="69"/>
      <c r="U37" s="70">
        <f>-8014.55</f>
        <v>-8014.55</v>
      </c>
      <c r="V37" s="70"/>
      <c r="W37" s="70"/>
      <c r="X37" s="70">
        <f>8014.55</f>
        <v>8014.55</v>
      </c>
      <c r="Y37" s="45">
        <f t="shared" si="2"/>
        <v>328000</v>
      </c>
      <c r="Z37" s="48">
        <f t="shared" si="9"/>
        <v>0</v>
      </c>
    </row>
    <row r="38" spans="1:26" ht="37.5">
      <c r="A38" s="26"/>
      <c r="B38" s="27"/>
      <c r="C38" s="55" t="s">
        <v>47</v>
      </c>
      <c r="D38" s="17">
        <f t="shared" si="6"/>
        <v>330316.47</v>
      </c>
      <c r="E38" s="21"/>
      <c r="F38" s="56">
        <f t="shared" si="7"/>
        <v>330316.47</v>
      </c>
      <c r="G38" s="56">
        <v>330316.47</v>
      </c>
      <c r="H38" s="56"/>
      <c r="I38" s="39">
        <f t="shared" si="10"/>
        <v>0</v>
      </c>
      <c r="J38" s="51">
        <f t="shared" si="11"/>
        <v>0</v>
      </c>
      <c r="L38" s="45">
        <f t="shared" si="12"/>
        <v>221316.46999999997</v>
      </c>
      <c r="M38" s="13"/>
      <c r="N38" s="13"/>
      <c r="O38" s="69"/>
      <c r="P38" s="69"/>
      <c r="Q38" s="69">
        <f>330316.47-245411.87-72000-12000</f>
        <v>904.5999999999767</v>
      </c>
      <c r="R38" s="69"/>
      <c r="S38" s="69">
        <f>245411.87+72000+12000-300000</f>
        <v>29411.869999999995</v>
      </c>
      <c r="T38" s="69">
        <f>300000</f>
        <v>300000</v>
      </c>
      <c r="U38" s="70">
        <f>-328000</f>
        <v>-328000</v>
      </c>
      <c r="V38" s="86">
        <f>278000-59000</f>
        <v>219000</v>
      </c>
      <c r="W38" s="86"/>
      <c r="X38" s="86">
        <f>50000+59000</f>
        <v>109000</v>
      </c>
      <c r="Y38" s="45">
        <f t="shared" si="2"/>
        <v>330316.47</v>
      </c>
      <c r="Z38" s="48">
        <f t="shared" si="9"/>
        <v>0</v>
      </c>
    </row>
    <row r="39" spans="1:26" ht="37.5">
      <c r="A39" s="26"/>
      <c r="B39" s="27"/>
      <c r="C39" s="55" t="s">
        <v>120</v>
      </c>
      <c r="D39" s="17">
        <f t="shared" si="6"/>
        <v>1550000</v>
      </c>
      <c r="E39" s="21"/>
      <c r="F39" s="56">
        <f t="shared" si="7"/>
        <v>1550000</v>
      </c>
      <c r="G39" s="56">
        <f>1550000</f>
        <v>1550000</v>
      </c>
      <c r="H39" s="56"/>
      <c r="I39" s="39"/>
      <c r="J39" s="81" t="e">
        <f t="shared" si="11"/>
        <v>#DIV/0!</v>
      </c>
      <c r="L39" s="45">
        <f t="shared" si="12"/>
        <v>0</v>
      </c>
      <c r="M39" s="13"/>
      <c r="N39" s="13"/>
      <c r="O39" s="69"/>
      <c r="P39" s="69"/>
      <c r="Q39" s="69"/>
      <c r="R39" s="69"/>
      <c r="S39" s="69"/>
      <c r="T39" s="69"/>
      <c r="U39" s="70"/>
      <c r="V39" s="70"/>
      <c r="W39" s="70"/>
      <c r="X39" s="75">
        <f>1550000</f>
        <v>1550000</v>
      </c>
      <c r="Y39" s="45">
        <f t="shared" si="2"/>
        <v>1550000</v>
      </c>
      <c r="Z39" s="48">
        <f t="shared" si="9"/>
        <v>0</v>
      </c>
    </row>
    <row r="40" spans="1:26" ht="37.5">
      <c r="A40" s="26"/>
      <c r="B40" s="27"/>
      <c r="C40" s="55" t="s">
        <v>48</v>
      </c>
      <c r="D40" s="17">
        <f t="shared" si="6"/>
        <v>166000</v>
      </c>
      <c r="E40" s="21"/>
      <c r="F40" s="56">
        <f t="shared" si="7"/>
        <v>166000</v>
      </c>
      <c r="G40" s="56">
        <v>166000</v>
      </c>
      <c r="H40" s="56"/>
      <c r="I40" s="39">
        <f t="shared" si="10"/>
        <v>0</v>
      </c>
      <c r="J40" s="51">
        <f t="shared" si="11"/>
        <v>0</v>
      </c>
      <c r="L40" s="45">
        <f t="shared" si="12"/>
        <v>166000</v>
      </c>
      <c r="M40" s="13"/>
      <c r="N40" s="13"/>
      <c r="O40" s="69"/>
      <c r="P40" s="69"/>
      <c r="Q40" s="69">
        <f>166000-166000</f>
        <v>0</v>
      </c>
      <c r="R40" s="69"/>
      <c r="S40" s="69">
        <f>166000-166000</f>
        <v>0</v>
      </c>
      <c r="T40" s="69"/>
      <c r="U40" s="70">
        <f>166000-166000</f>
        <v>0</v>
      </c>
      <c r="V40" s="70">
        <f>30000</f>
        <v>30000</v>
      </c>
      <c r="W40" s="70">
        <f>136000</f>
        <v>136000</v>
      </c>
      <c r="X40" s="70"/>
      <c r="Y40" s="45">
        <f t="shared" si="2"/>
        <v>166000</v>
      </c>
      <c r="Z40" s="48">
        <f t="shared" si="9"/>
        <v>0</v>
      </c>
    </row>
    <row r="41" spans="1:26" ht="18.75">
      <c r="A41" s="26"/>
      <c r="B41" s="27"/>
      <c r="C41" s="55" t="s">
        <v>49</v>
      </c>
      <c r="D41" s="17">
        <f t="shared" si="6"/>
        <v>251440</v>
      </c>
      <c r="E41" s="21"/>
      <c r="F41" s="56">
        <f t="shared" si="7"/>
        <v>251440</v>
      </c>
      <c r="G41" s="57">
        <f>200000+51440</f>
        <v>251440</v>
      </c>
      <c r="H41" s="56">
        <f>11000+145000+41675.25+2324.75</f>
        <v>200000</v>
      </c>
      <c r="I41" s="17">
        <f t="shared" si="10"/>
        <v>79.54183900731785</v>
      </c>
      <c r="J41" s="51">
        <f t="shared" si="11"/>
        <v>100</v>
      </c>
      <c r="L41" s="45">
        <f t="shared" si="12"/>
        <v>0</v>
      </c>
      <c r="M41" s="13"/>
      <c r="N41" s="13"/>
      <c r="O41" s="69"/>
      <c r="P41" s="69">
        <f>15000-4000</f>
        <v>11000</v>
      </c>
      <c r="Q41" s="69"/>
      <c r="R41" s="69">
        <f>100000-100000</f>
        <v>0</v>
      </c>
      <c r="S41" s="69">
        <f>145000</f>
        <v>145000</v>
      </c>
      <c r="T41" s="69"/>
      <c r="U41" s="70">
        <f>85000+104000-145000</f>
        <v>44000</v>
      </c>
      <c r="V41" s="70"/>
      <c r="W41" s="70"/>
      <c r="X41" s="75">
        <f>51440</f>
        <v>51440</v>
      </c>
      <c r="Y41" s="45">
        <f t="shared" si="2"/>
        <v>251440</v>
      </c>
      <c r="Z41" s="48">
        <f t="shared" si="9"/>
        <v>0</v>
      </c>
    </row>
    <row r="42" spans="1:26" ht="18.75">
      <c r="A42" s="26"/>
      <c r="B42" s="27"/>
      <c r="C42" s="55" t="s">
        <v>50</v>
      </c>
      <c r="D42" s="17">
        <f t="shared" si="6"/>
        <v>1588602</v>
      </c>
      <c r="E42" s="21"/>
      <c r="F42" s="56">
        <f t="shared" si="7"/>
        <v>1588602</v>
      </c>
      <c r="G42" s="56">
        <f>200000+1388602</f>
        <v>1588602</v>
      </c>
      <c r="H42" s="56">
        <f>28000+45000</f>
        <v>73000</v>
      </c>
      <c r="I42" s="17">
        <f t="shared" si="10"/>
        <v>4.59523530752196</v>
      </c>
      <c r="J42" s="51">
        <f t="shared" si="11"/>
        <v>100</v>
      </c>
      <c r="L42" s="45">
        <f t="shared" si="12"/>
        <v>0</v>
      </c>
      <c r="M42" s="13"/>
      <c r="N42" s="13"/>
      <c r="O42" s="69"/>
      <c r="P42" s="69">
        <f>15000+13000</f>
        <v>28000</v>
      </c>
      <c r="Q42" s="69"/>
      <c r="R42" s="69">
        <f>100000-13000-67000</f>
        <v>20000</v>
      </c>
      <c r="S42" s="69">
        <f>25000</f>
        <v>25000</v>
      </c>
      <c r="T42" s="69"/>
      <c r="U42" s="70">
        <f>85000+67000-25000</f>
        <v>127000</v>
      </c>
      <c r="V42" s="70">
        <f>-127000</f>
        <v>-127000</v>
      </c>
      <c r="W42" s="70"/>
      <c r="X42" s="75">
        <f>1388602+127000</f>
        <v>1515602</v>
      </c>
      <c r="Y42" s="45">
        <f t="shared" si="2"/>
        <v>1588602</v>
      </c>
      <c r="Z42" s="48">
        <f t="shared" si="9"/>
        <v>0</v>
      </c>
    </row>
    <row r="43" spans="1:26" ht="37.5">
      <c r="A43" s="26"/>
      <c r="B43" s="27"/>
      <c r="C43" s="55" t="s">
        <v>51</v>
      </c>
      <c r="D43" s="17">
        <f t="shared" si="6"/>
        <v>183000</v>
      </c>
      <c r="E43" s="21"/>
      <c r="F43" s="56">
        <f t="shared" si="7"/>
        <v>183000</v>
      </c>
      <c r="G43" s="56">
        <v>183000</v>
      </c>
      <c r="H43" s="56">
        <f>182577.11</f>
        <v>182577.11</v>
      </c>
      <c r="I43" s="17">
        <f t="shared" si="10"/>
        <v>99.768912568306</v>
      </c>
      <c r="J43" s="51">
        <f t="shared" si="11"/>
        <v>99.768912568306</v>
      </c>
      <c r="L43" s="45">
        <f t="shared" si="12"/>
        <v>422.89000000001397</v>
      </c>
      <c r="M43" s="13"/>
      <c r="N43" s="13"/>
      <c r="O43" s="69"/>
      <c r="P43" s="69">
        <v>183000</v>
      </c>
      <c r="Q43" s="69"/>
      <c r="R43" s="69"/>
      <c r="S43" s="69"/>
      <c r="T43" s="69"/>
      <c r="U43" s="70"/>
      <c r="V43" s="70"/>
      <c r="W43" s="70"/>
      <c r="X43" s="70"/>
      <c r="Y43" s="45">
        <f t="shared" si="2"/>
        <v>183000</v>
      </c>
      <c r="Z43" s="48">
        <f t="shared" si="9"/>
        <v>0</v>
      </c>
    </row>
    <row r="44" spans="1:26" ht="18.75">
      <c r="A44" s="26"/>
      <c r="B44" s="27"/>
      <c r="C44" s="55" t="s">
        <v>52</v>
      </c>
      <c r="D44" s="17">
        <f t="shared" si="6"/>
        <v>200000</v>
      </c>
      <c r="E44" s="21"/>
      <c r="F44" s="56">
        <f t="shared" si="7"/>
        <v>200000</v>
      </c>
      <c r="G44" s="56">
        <v>200000</v>
      </c>
      <c r="H44" s="56">
        <f>15000+115000+49952.02+2134</f>
        <v>182086.02</v>
      </c>
      <c r="I44" s="17">
        <f t="shared" si="10"/>
        <v>91.04301</v>
      </c>
      <c r="J44" s="51">
        <f t="shared" si="11"/>
        <v>91.04301</v>
      </c>
      <c r="L44" s="45">
        <f t="shared" si="12"/>
        <v>17913.98000000001</v>
      </c>
      <c r="M44" s="13"/>
      <c r="N44" s="13"/>
      <c r="O44" s="69"/>
      <c r="P44" s="69">
        <v>15000</v>
      </c>
      <c r="Q44" s="69"/>
      <c r="R44" s="69">
        <f>100000-76000</f>
        <v>24000</v>
      </c>
      <c r="S44" s="69">
        <f>76000+15000</f>
        <v>91000</v>
      </c>
      <c r="T44" s="69"/>
      <c r="U44" s="70">
        <f>85000-15000</f>
        <v>70000</v>
      </c>
      <c r="V44" s="70"/>
      <c r="W44" s="70"/>
      <c r="X44" s="70"/>
      <c r="Y44" s="45">
        <f t="shared" si="2"/>
        <v>200000</v>
      </c>
      <c r="Z44" s="48">
        <f t="shared" si="9"/>
        <v>0</v>
      </c>
    </row>
    <row r="45" spans="1:26" ht="37.5">
      <c r="A45" s="26"/>
      <c r="B45" s="27"/>
      <c r="C45" s="55" t="s">
        <v>53</v>
      </c>
      <c r="D45" s="17">
        <f t="shared" si="6"/>
        <v>424000</v>
      </c>
      <c r="E45" s="21"/>
      <c r="F45" s="56">
        <f t="shared" si="7"/>
        <v>424000</v>
      </c>
      <c r="G45" s="57">
        <f>450000-26000</f>
        <v>424000</v>
      </c>
      <c r="H45" s="56">
        <f>26000</f>
        <v>26000</v>
      </c>
      <c r="I45" s="17">
        <f t="shared" si="10"/>
        <v>6.132075471698113</v>
      </c>
      <c r="J45" s="51">
        <f t="shared" si="11"/>
        <v>11.607142857142858</v>
      </c>
      <c r="L45" s="45">
        <f t="shared" si="12"/>
        <v>198000</v>
      </c>
      <c r="M45" s="13"/>
      <c r="N45" s="13"/>
      <c r="O45" s="69"/>
      <c r="P45" s="69">
        <v>25000</v>
      </c>
      <c r="Q45" s="69"/>
      <c r="R45" s="69">
        <v>1000</v>
      </c>
      <c r="S45" s="69">
        <f>225000-1000-26000-198000</f>
        <v>0</v>
      </c>
      <c r="T45" s="69"/>
      <c r="U45" s="70"/>
      <c r="V45" s="70">
        <f>200000-200000</f>
        <v>0</v>
      </c>
      <c r="W45" s="70">
        <f>198000</f>
        <v>198000</v>
      </c>
      <c r="X45" s="70">
        <f>200000</f>
        <v>200000</v>
      </c>
      <c r="Y45" s="45">
        <f t="shared" si="2"/>
        <v>424000</v>
      </c>
      <c r="Z45" s="48">
        <f t="shared" si="9"/>
        <v>0</v>
      </c>
    </row>
    <row r="46" spans="1:26" ht="18.75">
      <c r="A46" s="26"/>
      <c r="B46" s="27"/>
      <c r="C46" s="55" t="s">
        <v>54</v>
      </c>
      <c r="D46" s="17">
        <f t="shared" si="6"/>
        <v>163736</v>
      </c>
      <c r="E46" s="21"/>
      <c r="F46" s="56">
        <f t="shared" si="7"/>
        <v>163736</v>
      </c>
      <c r="G46" s="57">
        <v>163736</v>
      </c>
      <c r="H46" s="56"/>
      <c r="I46" s="39">
        <f t="shared" si="10"/>
        <v>0</v>
      </c>
      <c r="J46" s="81" t="e">
        <f t="shared" si="11"/>
        <v>#DIV/0!</v>
      </c>
      <c r="L46" s="45">
        <f t="shared" si="12"/>
        <v>0</v>
      </c>
      <c r="M46" s="13"/>
      <c r="N46" s="13"/>
      <c r="O46" s="69"/>
      <c r="P46" s="69">
        <f>163736-163736</f>
        <v>0</v>
      </c>
      <c r="Q46" s="69"/>
      <c r="R46" s="69"/>
      <c r="S46" s="69"/>
      <c r="T46" s="69"/>
      <c r="U46" s="70">
        <f>163736-163736</f>
        <v>0</v>
      </c>
      <c r="V46" s="70"/>
      <c r="W46" s="70"/>
      <c r="X46" s="70">
        <f>163736</f>
        <v>163736</v>
      </c>
      <c r="Y46" s="45">
        <f t="shared" si="2"/>
        <v>163736</v>
      </c>
      <c r="Z46" s="48">
        <f t="shared" si="9"/>
        <v>0</v>
      </c>
    </row>
    <row r="47" spans="1:26" ht="37.5">
      <c r="A47" s="26"/>
      <c r="B47" s="27"/>
      <c r="C47" s="55" t="s">
        <v>55</v>
      </c>
      <c r="D47" s="17">
        <f t="shared" si="6"/>
        <v>262000</v>
      </c>
      <c r="E47" s="21"/>
      <c r="F47" s="56">
        <f t="shared" si="7"/>
        <v>262000</v>
      </c>
      <c r="G47" s="56">
        <v>262000</v>
      </c>
      <c r="H47" s="56"/>
      <c r="I47" s="39">
        <f t="shared" si="10"/>
        <v>0</v>
      </c>
      <c r="J47" s="81" t="e">
        <f t="shared" si="11"/>
        <v>#DIV/0!</v>
      </c>
      <c r="L47" s="45">
        <f t="shared" si="12"/>
        <v>0</v>
      </c>
      <c r="M47" s="13"/>
      <c r="N47" s="13"/>
      <c r="O47" s="69"/>
      <c r="P47" s="69">
        <f>262000-262000</f>
        <v>0</v>
      </c>
      <c r="Q47" s="69"/>
      <c r="R47" s="69"/>
      <c r="S47" s="69"/>
      <c r="T47" s="69"/>
      <c r="U47" s="70">
        <f>262000-262000</f>
        <v>0</v>
      </c>
      <c r="V47" s="70">
        <f>262000-262000</f>
        <v>0</v>
      </c>
      <c r="W47" s="70"/>
      <c r="X47" s="70">
        <f>262000</f>
        <v>262000</v>
      </c>
      <c r="Y47" s="45">
        <f t="shared" si="2"/>
        <v>262000</v>
      </c>
      <c r="Z47" s="48">
        <f t="shared" si="9"/>
        <v>0</v>
      </c>
    </row>
    <row r="48" spans="1:26" ht="18.75">
      <c r="A48" s="26"/>
      <c r="B48" s="27"/>
      <c r="C48" s="55" t="s">
        <v>56</v>
      </c>
      <c r="D48" s="17">
        <f t="shared" si="6"/>
        <v>91538</v>
      </c>
      <c r="E48" s="21"/>
      <c r="F48" s="56">
        <f t="shared" si="7"/>
        <v>91538</v>
      </c>
      <c r="G48" s="56">
        <f>145000-53462</f>
        <v>91538</v>
      </c>
      <c r="H48" s="56"/>
      <c r="I48" s="39">
        <f t="shared" si="10"/>
        <v>0</v>
      </c>
      <c r="J48" s="51">
        <f t="shared" si="11"/>
        <v>0</v>
      </c>
      <c r="L48" s="45">
        <f t="shared" si="12"/>
        <v>538</v>
      </c>
      <c r="M48" s="13"/>
      <c r="N48" s="13"/>
      <c r="O48" s="69"/>
      <c r="P48" s="69">
        <f>145000-39000-106000</f>
        <v>0</v>
      </c>
      <c r="Q48" s="69"/>
      <c r="R48" s="69"/>
      <c r="S48" s="69">
        <f>39000+106000-19000</f>
        <v>126000</v>
      </c>
      <c r="T48" s="69"/>
      <c r="U48" s="70">
        <f>19000-53462</f>
        <v>-34462</v>
      </c>
      <c r="V48" s="70">
        <f>-91000</f>
        <v>-91000</v>
      </c>
      <c r="W48" s="70"/>
      <c r="X48" s="70">
        <f>91000</f>
        <v>91000</v>
      </c>
      <c r="Y48" s="45">
        <f t="shared" si="2"/>
        <v>91538</v>
      </c>
      <c r="Z48" s="48">
        <f t="shared" si="9"/>
        <v>0</v>
      </c>
    </row>
    <row r="49" spans="1:26" ht="37.5" hidden="1">
      <c r="A49" s="26"/>
      <c r="B49" s="27"/>
      <c r="C49" s="58" t="s">
        <v>57</v>
      </c>
      <c r="D49" s="17">
        <f t="shared" si="6"/>
        <v>0</v>
      </c>
      <c r="E49" s="21"/>
      <c r="F49" s="56">
        <f t="shared" si="7"/>
        <v>0</v>
      </c>
      <c r="G49" s="57">
        <f>200000-200000</f>
        <v>0</v>
      </c>
      <c r="H49" s="56"/>
      <c r="I49" s="39" t="e">
        <f t="shared" si="10"/>
        <v>#DIV/0!</v>
      </c>
      <c r="J49" s="51" t="e">
        <f t="shared" si="11"/>
        <v>#DIV/0!</v>
      </c>
      <c r="L49" s="45">
        <f t="shared" si="12"/>
        <v>0</v>
      </c>
      <c r="M49" s="13"/>
      <c r="N49" s="13"/>
      <c r="O49" s="71"/>
      <c r="P49" s="71">
        <f>12000-12000</f>
        <v>0</v>
      </c>
      <c r="Q49" s="71"/>
      <c r="R49" s="71"/>
      <c r="S49" s="71">
        <f>98000-98000</f>
        <v>0</v>
      </c>
      <c r="T49" s="71"/>
      <c r="U49" s="70">
        <f>90000-90000</f>
        <v>0</v>
      </c>
      <c r="V49" s="70"/>
      <c r="W49" s="70"/>
      <c r="X49" s="70"/>
      <c r="Y49" s="45">
        <f t="shared" si="2"/>
        <v>0</v>
      </c>
      <c r="Z49" s="48">
        <f t="shared" si="9"/>
        <v>0</v>
      </c>
    </row>
    <row r="50" spans="1:26" ht="37.5">
      <c r="A50" s="26"/>
      <c r="B50" s="27"/>
      <c r="C50" s="55" t="s">
        <v>58</v>
      </c>
      <c r="D50" s="17">
        <f t="shared" si="6"/>
        <v>900000</v>
      </c>
      <c r="E50" s="21"/>
      <c r="F50" s="56">
        <f t="shared" si="7"/>
        <v>900000</v>
      </c>
      <c r="G50" s="57">
        <f>600000+300000</f>
        <v>900000</v>
      </c>
      <c r="H50" s="56">
        <f>414000+125166</f>
        <v>539166</v>
      </c>
      <c r="I50" s="17">
        <f t="shared" si="10"/>
        <v>59.907333333333334</v>
      </c>
      <c r="J50" s="51">
        <f t="shared" si="11"/>
        <v>62.75457827707335</v>
      </c>
      <c r="L50" s="45">
        <f t="shared" si="12"/>
        <v>320000</v>
      </c>
      <c r="M50" s="13"/>
      <c r="N50" s="13"/>
      <c r="O50" s="69"/>
      <c r="P50" s="69">
        <f>400000-166000</f>
        <v>234000</v>
      </c>
      <c r="Q50" s="69"/>
      <c r="R50" s="69">
        <f>200000-20000</f>
        <v>180000</v>
      </c>
      <c r="S50" s="69">
        <f>136000+20000-156000</f>
        <v>0</v>
      </c>
      <c r="T50" s="69">
        <f>300000-300000</f>
        <v>0</v>
      </c>
      <c r="U50" s="75">
        <f>166000-40834</f>
        <v>125166</v>
      </c>
      <c r="V50" s="75">
        <f>30000-30000</f>
        <v>0</v>
      </c>
      <c r="W50" s="70">
        <f>456000-136000</f>
        <v>320000</v>
      </c>
      <c r="X50" s="70">
        <f>40834</f>
        <v>40834</v>
      </c>
      <c r="Y50" s="45">
        <f t="shared" si="2"/>
        <v>900000</v>
      </c>
      <c r="Z50" s="48">
        <f t="shared" si="9"/>
        <v>0</v>
      </c>
    </row>
    <row r="51" spans="1:26" ht="18.75">
      <c r="A51" s="26"/>
      <c r="B51" s="27"/>
      <c r="C51" s="55" t="s">
        <v>59</v>
      </c>
      <c r="D51" s="17">
        <f t="shared" si="6"/>
        <v>224010</v>
      </c>
      <c r="E51" s="21"/>
      <c r="F51" s="56">
        <f t="shared" si="7"/>
        <v>224010</v>
      </c>
      <c r="G51" s="56">
        <f>252000-91000+63010</f>
        <v>224010</v>
      </c>
      <c r="H51" s="56">
        <f>2300+158344.03</f>
        <v>160644.03</v>
      </c>
      <c r="I51" s="17">
        <f t="shared" si="10"/>
        <v>71.71288335342172</v>
      </c>
      <c r="J51" s="51">
        <f t="shared" si="11"/>
        <v>99.77890062111801</v>
      </c>
      <c r="L51" s="45">
        <f t="shared" si="12"/>
        <v>355.97000000000116</v>
      </c>
      <c r="M51" s="13"/>
      <c r="N51" s="13"/>
      <c r="O51" s="69"/>
      <c r="P51" s="69">
        <f>161000-161000</f>
        <v>0</v>
      </c>
      <c r="Q51" s="69"/>
      <c r="R51" s="69"/>
      <c r="S51" s="69">
        <f>161000</f>
        <v>161000</v>
      </c>
      <c r="T51" s="69"/>
      <c r="U51" s="70"/>
      <c r="V51" s="70"/>
      <c r="W51" s="70"/>
      <c r="X51" s="75">
        <f>63010</f>
        <v>63010</v>
      </c>
      <c r="Y51" s="45">
        <f t="shared" si="2"/>
        <v>224010</v>
      </c>
      <c r="Z51" s="48">
        <f t="shared" si="9"/>
        <v>0</v>
      </c>
    </row>
    <row r="52" spans="1:26" ht="37.5">
      <c r="A52" s="26"/>
      <c r="B52" s="27"/>
      <c r="C52" s="55" t="s">
        <v>60</v>
      </c>
      <c r="D52" s="17">
        <f t="shared" si="6"/>
        <v>445673</v>
      </c>
      <c r="E52" s="21"/>
      <c r="F52" s="56">
        <f t="shared" si="7"/>
        <v>445673</v>
      </c>
      <c r="G52" s="56">
        <f>283000+162673</f>
        <v>445673</v>
      </c>
      <c r="H52" s="56">
        <f>2300+280495.35</f>
        <v>282795.35</v>
      </c>
      <c r="I52" s="17">
        <f t="shared" si="10"/>
        <v>63.45355226814278</v>
      </c>
      <c r="J52" s="51">
        <f t="shared" si="11"/>
        <v>99.92768551236747</v>
      </c>
      <c r="L52" s="45">
        <f t="shared" si="12"/>
        <v>204.65000000002328</v>
      </c>
      <c r="M52" s="13"/>
      <c r="N52" s="13"/>
      <c r="O52" s="69"/>
      <c r="P52" s="69"/>
      <c r="Q52" s="69">
        <f>283000-253900-29000</f>
        <v>100</v>
      </c>
      <c r="R52" s="69"/>
      <c r="S52" s="69">
        <f>253900+29000</f>
        <v>282900</v>
      </c>
      <c r="T52" s="69"/>
      <c r="U52" s="70"/>
      <c r="V52" s="70"/>
      <c r="W52" s="70"/>
      <c r="X52" s="75">
        <f>162673</f>
        <v>162673</v>
      </c>
      <c r="Y52" s="45">
        <f t="shared" si="2"/>
        <v>445673</v>
      </c>
      <c r="Z52" s="48">
        <f t="shared" si="9"/>
        <v>0</v>
      </c>
    </row>
    <row r="53" spans="1:26" ht="37.5">
      <c r="A53" s="26"/>
      <c r="B53" s="27"/>
      <c r="C53" s="55" t="s">
        <v>61</v>
      </c>
      <c r="D53" s="17">
        <f t="shared" si="6"/>
        <v>1377000</v>
      </c>
      <c r="E53" s="21"/>
      <c r="F53" s="56">
        <f t="shared" si="7"/>
        <v>1377000</v>
      </c>
      <c r="G53" s="56">
        <f>1192000+185000</f>
        <v>1377000</v>
      </c>
      <c r="H53" s="56">
        <f>940100+235033.86+16550+182643.51</f>
        <v>1374327.3699999999</v>
      </c>
      <c r="I53" s="17">
        <f t="shared" si="10"/>
        <v>99.80590922294843</v>
      </c>
      <c r="J53" s="51">
        <f t="shared" si="11"/>
        <v>99.99999999999997</v>
      </c>
      <c r="L53" s="45">
        <f t="shared" si="12"/>
        <v>0</v>
      </c>
      <c r="M53" s="13"/>
      <c r="N53" s="13"/>
      <c r="O53" s="69"/>
      <c r="P53" s="69">
        <f>600000+340100</f>
        <v>940100</v>
      </c>
      <c r="Q53" s="69">
        <f>251900</f>
        <v>251900</v>
      </c>
      <c r="R53" s="69">
        <f>185000</f>
        <v>185000</v>
      </c>
      <c r="S53" s="69">
        <f>592000-340100-251900+26000-26000</f>
        <v>0</v>
      </c>
      <c r="T53" s="69"/>
      <c r="U53" s="70">
        <f>159000-159000-2672.63</f>
        <v>-2672.63</v>
      </c>
      <c r="V53" s="70"/>
      <c r="W53" s="70"/>
      <c r="X53" s="70">
        <f>2672.63</f>
        <v>2672.63</v>
      </c>
      <c r="Y53" s="45">
        <f t="shared" si="2"/>
        <v>1377000</v>
      </c>
      <c r="Z53" s="48">
        <f t="shared" si="9"/>
        <v>0</v>
      </c>
    </row>
    <row r="54" spans="1:26" ht="37.5">
      <c r="A54" s="26"/>
      <c r="B54" s="27"/>
      <c r="C54" s="55" t="s">
        <v>62</v>
      </c>
      <c r="D54" s="17">
        <f t="shared" si="6"/>
        <v>325000</v>
      </c>
      <c r="E54" s="21"/>
      <c r="F54" s="56">
        <f t="shared" si="7"/>
        <v>325000</v>
      </c>
      <c r="G54" s="56">
        <v>325000</v>
      </c>
      <c r="H54" s="56">
        <f>304965.4</f>
        <v>304965.4</v>
      </c>
      <c r="I54" s="17">
        <f t="shared" si="10"/>
        <v>93.8355076923077</v>
      </c>
      <c r="J54" s="51">
        <f t="shared" si="11"/>
        <v>99.98865573770492</v>
      </c>
      <c r="L54" s="45">
        <f t="shared" si="12"/>
        <v>34.59999999997672</v>
      </c>
      <c r="M54" s="13"/>
      <c r="N54" s="13"/>
      <c r="O54" s="69"/>
      <c r="P54" s="69">
        <f>325000-20000</f>
        <v>305000</v>
      </c>
      <c r="Q54" s="69"/>
      <c r="R54" s="69"/>
      <c r="S54" s="69"/>
      <c r="T54" s="69"/>
      <c r="U54" s="70"/>
      <c r="V54" s="70"/>
      <c r="W54" s="70"/>
      <c r="X54" s="70">
        <f>20000</f>
        <v>20000</v>
      </c>
      <c r="Y54" s="45">
        <f t="shared" si="2"/>
        <v>325000</v>
      </c>
      <c r="Z54" s="48">
        <f t="shared" si="9"/>
        <v>0</v>
      </c>
    </row>
    <row r="55" spans="1:26" ht="37.5">
      <c r="A55" s="26"/>
      <c r="B55" s="27"/>
      <c r="C55" s="55" t="s">
        <v>63</v>
      </c>
      <c r="D55" s="17">
        <f t="shared" si="6"/>
        <v>451402</v>
      </c>
      <c r="E55" s="21"/>
      <c r="F55" s="56">
        <f t="shared" si="7"/>
        <v>451402</v>
      </c>
      <c r="G55" s="57">
        <f>250000+201402</f>
        <v>451402</v>
      </c>
      <c r="H55" s="56">
        <f>17000+160874+3800+130564.12</f>
        <v>312238.12</v>
      </c>
      <c r="I55" s="17">
        <f t="shared" si="10"/>
        <v>69.17074359440144</v>
      </c>
      <c r="J55" s="51">
        <f t="shared" si="11"/>
        <v>100</v>
      </c>
      <c r="L55" s="45">
        <f t="shared" si="12"/>
        <v>0</v>
      </c>
      <c r="M55" s="13"/>
      <c r="N55" s="13"/>
      <c r="O55" s="69"/>
      <c r="P55" s="69">
        <v>15000</v>
      </c>
      <c r="Q55" s="69">
        <f>2000</f>
        <v>2000</v>
      </c>
      <c r="R55" s="69"/>
      <c r="S55" s="69">
        <f>170000-2000</f>
        <v>168000</v>
      </c>
      <c r="T55" s="69">
        <v>65000</v>
      </c>
      <c r="U55" s="75">
        <v>62238.12</v>
      </c>
      <c r="V55" s="75"/>
      <c r="W55" s="75"/>
      <c r="X55" s="75">
        <f>201402-62238.12</f>
        <v>139163.88</v>
      </c>
      <c r="Y55" s="45">
        <f t="shared" si="2"/>
        <v>451402</v>
      </c>
      <c r="Z55" s="48">
        <f t="shared" si="9"/>
        <v>0</v>
      </c>
    </row>
    <row r="56" spans="1:26" ht="18.75">
      <c r="A56" s="26"/>
      <c r="B56" s="27"/>
      <c r="C56" s="55" t="s">
        <v>64</v>
      </c>
      <c r="D56" s="17">
        <f t="shared" si="6"/>
        <v>905656</v>
      </c>
      <c r="E56" s="21"/>
      <c r="F56" s="56">
        <f t="shared" si="7"/>
        <v>905656</v>
      </c>
      <c r="G56" s="56">
        <v>905656</v>
      </c>
      <c r="H56" s="56">
        <f>663625.68+42451.48</f>
        <v>706077.16</v>
      </c>
      <c r="I56" s="17">
        <f t="shared" si="10"/>
        <v>77.96306323813899</v>
      </c>
      <c r="J56" s="51">
        <f t="shared" si="11"/>
        <v>77.96306323813899</v>
      </c>
      <c r="L56" s="45">
        <f t="shared" si="12"/>
        <v>199578.83999999997</v>
      </c>
      <c r="M56" s="13"/>
      <c r="N56" s="13"/>
      <c r="O56" s="69">
        <f>760000-110000</f>
        <v>650000</v>
      </c>
      <c r="P56" s="69"/>
      <c r="Q56" s="69"/>
      <c r="R56" s="69">
        <f>145656-132000</f>
        <v>13656</v>
      </c>
      <c r="S56" s="69">
        <f>132000+110000-187100</f>
        <v>54900</v>
      </c>
      <c r="T56" s="69">
        <f>187100</f>
        <v>187100</v>
      </c>
      <c r="U56" s="70"/>
      <c r="V56" s="70"/>
      <c r="W56" s="70"/>
      <c r="X56" s="70"/>
      <c r="Y56" s="45">
        <f t="shared" si="2"/>
        <v>905656</v>
      </c>
      <c r="Z56" s="48">
        <f t="shared" si="9"/>
        <v>0</v>
      </c>
    </row>
    <row r="57" spans="1:26" ht="37.5">
      <c r="A57" s="26"/>
      <c r="B57" s="27"/>
      <c r="C57" s="55" t="s">
        <v>65</v>
      </c>
      <c r="D57" s="17">
        <f t="shared" si="6"/>
        <v>600000</v>
      </c>
      <c r="E57" s="21"/>
      <c r="F57" s="56">
        <f t="shared" si="7"/>
        <v>600000</v>
      </c>
      <c r="G57" s="56">
        <f>3500000-2900000</f>
        <v>600000</v>
      </c>
      <c r="H57" s="56"/>
      <c r="I57" s="39">
        <f t="shared" si="10"/>
        <v>0</v>
      </c>
      <c r="J57" s="51">
        <f t="shared" si="11"/>
        <v>0</v>
      </c>
      <c r="L57" s="45">
        <f t="shared" si="12"/>
        <v>300000</v>
      </c>
      <c r="M57" s="13"/>
      <c r="N57" s="13"/>
      <c r="O57" s="69"/>
      <c r="P57" s="69"/>
      <c r="Q57" s="69"/>
      <c r="R57" s="69">
        <f>300000-300000</f>
        <v>0</v>
      </c>
      <c r="S57" s="69">
        <f>300000-300000</f>
        <v>0</v>
      </c>
      <c r="T57" s="69">
        <f>300000-300000</f>
        <v>0</v>
      </c>
      <c r="U57" s="70"/>
      <c r="V57" s="70">
        <f>300000-300000</f>
        <v>0</v>
      </c>
      <c r="W57" s="70">
        <f>300000</f>
        <v>300000</v>
      </c>
      <c r="X57" s="70">
        <f>300000</f>
        <v>300000</v>
      </c>
      <c r="Y57" s="45">
        <f t="shared" si="2"/>
        <v>600000</v>
      </c>
      <c r="Z57" s="48">
        <f t="shared" si="9"/>
        <v>0</v>
      </c>
    </row>
    <row r="58" spans="1:26" ht="18.75">
      <c r="A58" s="26"/>
      <c r="B58" s="27"/>
      <c r="C58" s="55" t="s">
        <v>66</v>
      </c>
      <c r="D58" s="17">
        <f t="shared" si="6"/>
        <v>38043.27</v>
      </c>
      <c r="E58" s="21"/>
      <c r="F58" s="56">
        <f t="shared" si="7"/>
        <v>38043.27</v>
      </c>
      <c r="G58" s="56">
        <v>38043.27</v>
      </c>
      <c r="H58" s="56"/>
      <c r="I58" s="39">
        <f t="shared" si="10"/>
        <v>0</v>
      </c>
      <c r="J58" s="81" t="e">
        <f t="shared" si="11"/>
        <v>#DIV/0!</v>
      </c>
      <c r="L58" s="45">
        <f t="shared" si="12"/>
        <v>0</v>
      </c>
      <c r="M58" s="13"/>
      <c r="N58" s="13"/>
      <c r="O58" s="69"/>
      <c r="P58" s="69">
        <f>38043.27-38000</f>
        <v>43.2699999999968</v>
      </c>
      <c r="Q58" s="69"/>
      <c r="R58" s="69"/>
      <c r="S58" s="69"/>
      <c r="T58" s="69"/>
      <c r="U58" s="70">
        <f>38000-38043.27</f>
        <v>-43.2699999999968</v>
      </c>
      <c r="V58" s="70"/>
      <c r="W58" s="70"/>
      <c r="X58" s="70">
        <f>38043.27</f>
        <v>38043.27</v>
      </c>
      <c r="Y58" s="45">
        <f t="shared" si="2"/>
        <v>38043.27</v>
      </c>
      <c r="Z58" s="48">
        <f t="shared" si="9"/>
        <v>0</v>
      </c>
    </row>
    <row r="59" spans="1:26" ht="18.75">
      <c r="A59" s="26"/>
      <c r="B59" s="27"/>
      <c r="C59" s="55" t="s">
        <v>121</v>
      </c>
      <c r="D59" s="17">
        <f t="shared" si="6"/>
        <v>1455677.6</v>
      </c>
      <c r="E59" s="21"/>
      <c r="F59" s="56">
        <f t="shared" si="7"/>
        <v>1455677.6</v>
      </c>
      <c r="G59" s="56">
        <f>1455677.6</f>
        <v>1455677.6</v>
      </c>
      <c r="H59" s="56">
        <f>182500</f>
        <v>182500</v>
      </c>
      <c r="I59" s="17">
        <f t="shared" si="10"/>
        <v>12.537116735189166</v>
      </c>
      <c r="J59" s="51">
        <f t="shared" si="11"/>
        <v>100</v>
      </c>
      <c r="L59" s="45">
        <f t="shared" si="12"/>
        <v>0</v>
      </c>
      <c r="M59" s="13"/>
      <c r="N59" s="13"/>
      <c r="O59" s="69"/>
      <c r="P59" s="69"/>
      <c r="Q59" s="69"/>
      <c r="R59" s="69"/>
      <c r="S59" s="69"/>
      <c r="T59" s="69"/>
      <c r="U59" s="70"/>
      <c r="V59" s="70">
        <f>182500</f>
        <v>182500</v>
      </c>
      <c r="W59" s="70"/>
      <c r="X59" s="75">
        <f>1455677.6-182500</f>
        <v>1273177.6</v>
      </c>
      <c r="Y59" s="45">
        <f t="shared" si="2"/>
        <v>1455677.6</v>
      </c>
      <c r="Z59" s="48">
        <f t="shared" si="9"/>
        <v>0</v>
      </c>
    </row>
    <row r="60" spans="1:26" ht="37.5">
      <c r="A60" s="26"/>
      <c r="B60" s="27"/>
      <c r="C60" s="55" t="s">
        <v>67</v>
      </c>
      <c r="D60" s="17">
        <f t="shared" si="6"/>
        <v>303000</v>
      </c>
      <c r="E60" s="21"/>
      <c r="F60" s="56">
        <f t="shared" si="7"/>
        <v>303000</v>
      </c>
      <c r="G60" s="56">
        <v>303000</v>
      </c>
      <c r="H60" s="56">
        <f>292764.73+4169.59</f>
        <v>296934.32</v>
      </c>
      <c r="I60" s="17">
        <f t="shared" si="10"/>
        <v>97.99812541254126</v>
      </c>
      <c r="J60" s="51">
        <f t="shared" si="11"/>
        <v>100</v>
      </c>
      <c r="L60" s="45">
        <f t="shared" si="12"/>
        <v>0</v>
      </c>
      <c r="M60" s="13"/>
      <c r="N60" s="13"/>
      <c r="O60" s="69"/>
      <c r="P60" s="69">
        <v>303000</v>
      </c>
      <c r="Q60" s="69"/>
      <c r="R60" s="69"/>
      <c r="S60" s="69"/>
      <c r="T60" s="69"/>
      <c r="U60" s="70">
        <f>-6065.68</f>
        <v>-6065.68</v>
      </c>
      <c r="V60" s="70"/>
      <c r="W60" s="70"/>
      <c r="X60" s="70">
        <f>6065.68</f>
        <v>6065.68</v>
      </c>
      <c r="Y60" s="45">
        <f t="shared" si="2"/>
        <v>303000</v>
      </c>
      <c r="Z60" s="48">
        <f t="shared" si="9"/>
        <v>0</v>
      </c>
    </row>
    <row r="61" spans="1:26" ht="18.75">
      <c r="A61" s="26"/>
      <c r="B61" s="27"/>
      <c r="C61" s="55" t="s">
        <v>68</v>
      </c>
      <c r="D61" s="17">
        <f t="shared" si="6"/>
        <v>359000</v>
      </c>
      <c r="E61" s="21"/>
      <c r="F61" s="56">
        <f t="shared" si="7"/>
        <v>359000</v>
      </c>
      <c r="G61" s="56">
        <v>359000</v>
      </c>
      <c r="H61" s="56">
        <f>274488.71</f>
        <v>274488.71</v>
      </c>
      <c r="I61" s="17">
        <f t="shared" si="10"/>
        <v>76.45925069637883</v>
      </c>
      <c r="J61" s="51">
        <f t="shared" si="11"/>
        <v>76.45925069637883</v>
      </c>
      <c r="L61" s="45">
        <f t="shared" si="12"/>
        <v>84511.28999999998</v>
      </c>
      <c r="M61" s="13"/>
      <c r="N61" s="13"/>
      <c r="O61" s="69"/>
      <c r="P61" s="69"/>
      <c r="Q61" s="69">
        <f>274500</f>
        <v>274500</v>
      </c>
      <c r="R61" s="69"/>
      <c r="S61" s="69">
        <f>359000-274500-84500</f>
        <v>0</v>
      </c>
      <c r="T61" s="69"/>
      <c r="U61" s="70"/>
      <c r="V61" s="70">
        <f>84500</f>
        <v>84500</v>
      </c>
      <c r="W61" s="70"/>
      <c r="X61" s="70"/>
      <c r="Y61" s="45">
        <f t="shared" si="2"/>
        <v>359000</v>
      </c>
      <c r="Z61" s="48">
        <f t="shared" si="9"/>
        <v>0</v>
      </c>
    </row>
    <row r="62" spans="1:26" ht="18.75">
      <c r="A62" s="26"/>
      <c r="B62" s="27"/>
      <c r="C62" s="55" t="s">
        <v>69</v>
      </c>
      <c r="D62" s="17">
        <f t="shared" si="6"/>
        <v>478000</v>
      </c>
      <c r="E62" s="21"/>
      <c r="F62" s="56">
        <f t="shared" si="7"/>
        <v>478000</v>
      </c>
      <c r="G62" s="56">
        <f>1700000-95164.55-1126835.45</f>
        <v>478000</v>
      </c>
      <c r="H62" s="56">
        <f>250000+228000</f>
        <v>478000</v>
      </c>
      <c r="I62" s="17">
        <f t="shared" si="10"/>
        <v>100</v>
      </c>
      <c r="J62" s="51">
        <f t="shared" si="11"/>
        <v>100</v>
      </c>
      <c r="L62" s="45">
        <f t="shared" si="12"/>
        <v>0</v>
      </c>
      <c r="M62" s="13"/>
      <c r="N62" s="13"/>
      <c r="O62" s="69"/>
      <c r="P62" s="69">
        <f>100000+150000</f>
        <v>250000</v>
      </c>
      <c r="Q62" s="69"/>
      <c r="R62" s="69"/>
      <c r="S62" s="69">
        <f>1000000-150000-95164.55-526835.45</f>
        <v>228000</v>
      </c>
      <c r="T62" s="69">
        <f>600000-600000</f>
        <v>0</v>
      </c>
      <c r="U62" s="70"/>
      <c r="V62" s="70"/>
      <c r="W62" s="70"/>
      <c r="X62" s="70"/>
      <c r="Y62" s="45">
        <f t="shared" si="2"/>
        <v>478000</v>
      </c>
      <c r="Z62" s="48">
        <f t="shared" si="9"/>
        <v>0</v>
      </c>
    </row>
    <row r="63" spans="1:26" ht="18.75">
      <c r="A63" s="26"/>
      <c r="B63" s="27"/>
      <c r="C63" s="55" t="s">
        <v>70</v>
      </c>
      <c r="D63" s="17">
        <f t="shared" si="6"/>
        <v>1510000</v>
      </c>
      <c r="E63" s="21"/>
      <c r="F63" s="56">
        <f t="shared" si="7"/>
        <v>1510000</v>
      </c>
      <c r="G63" s="56">
        <f>1790000-280000</f>
        <v>1510000</v>
      </c>
      <c r="H63" s="56"/>
      <c r="I63" s="39">
        <f t="shared" si="10"/>
        <v>0</v>
      </c>
      <c r="J63" s="51">
        <f t="shared" si="11"/>
        <v>0</v>
      </c>
      <c r="L63" s="45">
        <f t="shared" si="12"/>
        <v>284000</v>
      </c>
      <c r="M63" s="13"/>
      <c r="N63" s="13"/>
      <c r="O63" s="69"/>
      <c r="P63" s="69"/>
      <c r="Q63" s="69"/>
      <c r="R63" s="69">
        <f>800000-800000</f>
        <v>0</v>
      </c>
      <c r="S63" s="69">
        <f>800000-800000</f>
        <v>0</v>
      </c>
      <c r="T63" s="69">
        <f>177300</f>
        <v>177300</v>
      </c>
      <c r="U63" s="70">
        <f>710000+99200-726000</f>
        <v>83200</v>
      </c>
      <c r="V63" s="70">
        <f>523500-500000</f>
        <v>23500</v>
      </c>
      <c r="W63" s="70"/>
      <c r="X63" s="70">
        <f>726000+500000</f>
        <v>1226000</v>
      </c>
      <c r="Y63" s="45">
        <f t="shared" si="2"/>
        <v>1510000</v>
      </c>
      <c r="Z63" s="48">
        <f t="shared" si="9"/>
        <v>0</v>
      </c>
    </row>
    <row r="64" spans="1:26" ht="18.75">
      <c r="A64" s="26"/>
      <c r="B64" s="27"/>
      <c r="C64" s="55" t="s">
        <v>71</v>
      </c>
      <c r="D64" s="17">
        <f t="shared" si="6"/>
        <v>17979000</v>
      </c>
      <c r="E64" s="21"/>
      <c r="F64" s="56">
        <f t="shared" si="7"/>
        <v>17979000</v>
      </c>
      <c r="G64" s="56">
        <f>10479000-7000000+1500000+2900000+100000+10000000</f>
        <v>17979000</v>
      </c>
      <c r="H64" s="56">
        <f>3930000+109000+110891.2</f>
        <v>4149891.2</v>
      </c>
      <c r="I64" s="17">
        <f t="shared" si="10"/>
        <v>23.081879971077367</v>
      </c>
      <c r="J64" s="51">
        <f t="shared" si="11"/>
        <v>50.61460178070497</v>
      </c>
      <c r="L64" s="45">
        <f t="shared" si="12"/>
        <v>4049108.8</v>
      </c>
      <c r="M64" s="13"/>
      <c r="N64" s="13"/>
      <c r="O64" s="69"/>
      <c r="P64" s="75">
        <f>3930000-1414490.15-46100-239000-570000+56675.72</f>
        <v>1717085.57</v>
      </c>
      <c r="Q64" s="75">
        <f>1414490.15+24000-274500</f>
        <v>1163990.15</v>
      </c>
      <c r="R64" s="75">
        <f>38000+1011000-5</f>
        <v>1048995</v>
      </c>
      <c r="S64" s="75">
        <f>3949000+46100+155000+395000+274500+43324.28-1011000-2450670-1400000-1254</f>
        <v>0.2800000002607703</v>
      </c>
      <c r="T64" s="75">
        <f>22000+476741+1400000-1898741</f>
        <v>0</v>
      </c>
      <c r="U64" s="75">
        <f>1973929-1974000+220000</f>
        <v>219929</v>
      </c>
      <c r="V64" s="75">
        <f>175000+1974000-1134200</f>
        <v>1014800</v>
      </c>
      <c r="W64" s="75">
        <f>1900000+1134200</f>
        <v>3034200</v>
      </c>
      <c r="X64" s="75">
        <f>10000000-220000</f>
        <v>9780000</v>
      </c>
      <c r="Y64" s="45">
        <f t="shared" si="2"/>
        <v>17979000</v>
      </c>
      <c r="Z64" s="48">
        <f t="shared" si="9"/>
        <v>0</v>
      </c>
    </row>
    <row r="65" spans="1:26" ht="37.5">
      <c r="A65" s="26"/>
      <c r="B65" s="27"/>
      <c r="C65" s="55" t="s">
        <v>72</v>
      </c>
      <c r="D65" s="17">
        <f t="shared" si="6"/>
        <v>15360149</v>
      </c>
      <c r="E65" s="21"/>
      <c r="F65" s="56">
        <f t="shared" si="7"/>
        <v>15360149</v>
      </c>
      <c r="G65" s="56">
        <f>7024039-1500000+2000000+7836110</f>
        <v>15360149</v>
      </c>
      <c r="H65" s="56">
        <f>130000+3643250+51820.6</f>
        <v>3825070.6</v>
      </c>
      <c r="I65" s="77">
        <f t="shared" si="10"/>
        <v>24.90256181759695</v>
      </c>
      <c r="J65" s="51">
        <f t="shared" si="11"/>
        <v>53.24478809161049</v>
      </c>
      <c r="L65" s="45">
        <f t="shared" si="12"/>
        <v>3358863.7100000004</v>
      </c>
      <c r="M65" s="13"/>
      <c r="N65" s="13"/>
      <c r="O65" s="69"/>
      <c r="P65" s="75">
        <f>50000+80000+450000-450000</f>
        <v>130000</v>
      </c>
      <c r="Q65" s="75">
        <f>359000-359000</f>
        <v>0</v>
      </c>
      <c r="R65" s="75">
        <f>81004.58-81000</f>
        <v>4.580000000001746</v>
      </c>
      <c r="S65" s="75">
        <f>3500000-80000+350000+890000-950000+2694000</f>
        <v>6404000</v>
      </c>
      <c r="T65" s="75">
        <f>341800+950000-1291800</f>
        <v>0</v>
      </c>
      <c r="U65" s="75">
        <f>99200-99200</f>
        <v>0</v>
      </c>
      <c r="V65" s="75">
        <f>3474039-1500000-1303000-770000-21109.27</f>
        <v>-120070.27</v>
      </c>
      <c r="W65" s="75">
        <f>770000</f>
        <v>770000</v>
      </c>
      <c r="X65" s="75">
        <f>318995.42+7836110+21109.27</f>
        <v>8176214.6899999995</v>
      </c>
      <c r="Y65" s="45">
        <f t="shared" si="2"/>
        <v>15360149</v>
      </c>
      <c r="Z65" s="48">
        <f t="shared" si="9"/>
        <v>0</v>
      </c>
    </row>
    <row r="66" spans="1:26" ht="18.75">
      <c r="A66" s="26"/>
      <c r="B66" s="27"/>
      <c r="C66" s="55" t="s">
        <v>73</v>
      </c>
      <c r="D66" s="17">
        <f t="shared" si="6"/>
        <v>3976000</v>
      </c>
      <c r="E66" s="21"/>
      <c r="F66" s="56">
        <f t="shared" si="7"/>
        <v>3976000</v>
      </c>
      <c r="G66" s="56">
        <v>3976000</v>
      </c>
      <c r="H66" s="56">
        <f>1000000+500000-500000</f>
        <v>1000000</v>
      </c>
      <c r="I66" s="17">
        <f t="shared" si="10"/>
        <v>25.15090543259557</v>
      </c>
      <c r="J66" s="51">
        <f t="shared" si="11"/>
        <v>37.735849056603776</v>
      </c>
      <c r="L66" s="45">
        <f t="shared" si="12"/>
        <v>1650000</v>
      </c>
      <c r="M66" s="13"/>
      <c r="N66" s="13"/>
      <c r="O66" s="69">
        <f>1000000+168750</f>
        <v>1168750</v>
      </c>
      <c r="P66" s="69">
        <f>331250</f>
        <v>331250</v>
      </c>
      <c r="Q66" s="69"/>
      <c r="R66" s="69"/>
      <c r="S66" s="69"/>
      <c r="T66" s="69"/>
      <c r="U66" s="70">
        <f>1976000-500000-1976000</f>
        <v>-500000</v>
      </c>
      <c r="V66" s="70">
        <f>1326000-1326000</f>
        <v>0</v>
      </c>
      <c r="W66" s="70">
        <f>1000000+650000</f>
        <v>1650000</v>
      </c>
      <c r="X66" s="70">
        <f>1326000</f>
        <v>1326000</v>
      </c>
      <c r="Y66" s="45">
        <f t="shared" si="2"/>
        <v>3976000</v>
      </c>
      <c r="Z66" s="48">
        <f t="shared" si="9"/>
        <v>0</v>
      </c>
    </row>
    <row r="67" spans="1:26" ht="18.75">
      <c r="A67" s="26"/>
      <c r="B67" s="27"/>
      <c r="C67" s="55" t="s">
        <v>74</v>
      </c>
      <c r="D67" s="17">
        <f t="shared" si="6"/>
        <v>2733000</v>
      </c>
      <c r="E67" s="21"/>
      <c r="F67" s="56">
        <f t="shared" si="7"/>
        <v>2733000</v>
      </c>
      <c r="G67" s="56">
        <v>2733000</v>
      </c>
      <c r="H67" s="56">
        <f>1348500+1160481.22+16102.12+191112.6+16787.55</f>
        <v>2732983.4899999998</v>
      </c>
      <c r="I67" s="17">
        <f t="shared" si="10"/>
        <v>99.99939590193925</v>
      </c>
      <c r="J67" s="51">
        <f t="shared" si="11"/>
        <v>99.99939590193925</v>
      </c>
      <c r="L67" s="45">
        <f t="shared" si="12"/>
        <v>16.510000000242144</v>
      </c>
      <c r="M67" s="13"/>
      <c r="N67" s="13"/>
      <c r="O67" s="69"/>
      <c r="P67" s="69">
        <f>1400000+161000</f>
        <v>1561000</v>
      </c>
      <c r="Q67" s="69">
        <f>72000</f>
        <v>72000</v>
      </c>
      <c r="R67" s="69">
        <f>1100000</f>
        <v>1100000</v>
      </c>
      <c r="S67" s="69">
        <f>1333000-1333000</f>
        <v>0</v>
      </c>
      <c r="T67" s="69"/>
      <c r="U67" s="70">
        <f>-16804.06+16804.06</f>
        <v>0</v>
      </c>
      <c r="V67" s="70"/>
      <c r="W67" s="70"/>
      <c r="X67" s="70">
        <f>16804.06-16804.06</f>
        <v>0</v>
      </c>
      <c r="Y67" s="45">
        <f t="shared" si="2"/>
        <v>2733000</v>
      </c>
      <c r="Z67" s="48">
        <f t="shared" si="9"/>
        <v>0</v>
      </c>
    </row>
    <row r="68" spans="1:26" ht="18.75">
      <c r="A68" s="26"/>
      <c r="B68" s="27"/>
      <c r="C68" s="59" t="s">
        <v>75</v>
      </c>
      <c r="D68" s="17">
        <f t="shared" si="6"/>
        <v>86813.52</v>
      </c>
      <c r="E68" s="21"/>
      <c r="F68" s="56">
        <f t="shared" si="7"/>
        <v>86813.52</v>
      </c>
      <c r="G68" s="60">
        <v>86813.52</v>
      </c>
      <c r="H68" s="56"/>
      <c r="I68" s="39">
        <f t="shared" si="10"/>
        <v>0</v>
      </c>
      <c r="J68" s="81" t="e">
        <f t="shared" si="11"/>
        <v>#DIV/0!</v>
      </c>
      <c r="L68" s="45">
        <f t="shared" si="12"/>
        <v>0</v>
      </c>
      <c r="M68" s="13"/>
      <c r="N68" s="13"/>
      <c r="O68" s="72"/>
      <c r="P68" s="72">
        <f>86813.52-86813.52</f>
        <v>0</v>
      </c>
      <c r="Q68" s="72"/>
      <c r="R68" s="72"/>
      <c r="S68" s="72">
        <f>86813.52-86800</f>
        <v>13.520000000004075</v>
      </c>
      <c r="T68" s="72">
        <f>86800</f>
        <v>86800</v>
      </c>
      <c r="U68" s="70">
        <f>-86813.52</f>
        <v>-86813.52</v>
      </c>
      <c r="V68" s="70"/>
      <c r="W68" s="70"/>
      <c r="X68" s="70">
        <f>86813.52</f>
        <v>86813.52</v>
      </c>
      <c r="Y68" s="45">
        <f t="shared" si="2"/>
        <v>86813.52</v>
      </c>
      <c r="Z68" s="48">
        <f t="shared" si="9"/>
        <v>0</v>
      </c>
    </row>
    <row r="69" spans="1:26" ht="18.75">
      <c r="A69" s="26"/>
      <c r="B69" s="27"/>
      <c r="C69" s="59" t="s">
        <v>76</v>
      </c>
      <c r="D69" s="17">
        <f t="shared" si="6"/>
        <v>114582.07</v>
      </c>
      <c r="E69" s="21"/>
      <c r="F69" s="56">
        <f t="shared" si="7"/>
        <v>114582.07</v>
      </c>
      <c r="G69" s="60">
        <v>114582.07</v>
      </c>
      <c r="H69" s="56">
        <f>23000</f>
        <v>23000</v>
      </c>
      <c r="I69" s="17">
        <f t="shared" si="10"/>
        <v>20.0729485861095</v>
      </c>
      <c r="J69" s="51">
        <f t="shared" si="11"/>
        <v>100</v>
      </c>
      <c r="L69" s="45">
        <f t="shared" si="12"/>
        <v>0</v>
      </c>
      <c r="M69" s="13"/>
      <c r="N69" s="13"/>
      <c r="O69" s="72"/>
      <c r="P69" s="72">
        <f>114582.07-114582.07</f>
        <v>0</v>
      </c>
      <c r="Q69" s="72"/>
      <c r="R69" s="72">
        <v>23000</v>
      </c>
      <c r="S69" s="72">
        <f>114582.07-23000-91500</f>
        <v>82.07000000000698</v>
      </c>
      <c r="T69" s="72">
        <f>91500</f>
        <v>91500</v>
      </c>
      <c r="U69" s="70">
        <f>-91582.07</f>
        <v>-91582.07</v>
      </c>
      <c r="V69" s="70"/>
      <c r="W69" s="70"/>
      <c r="X69" s="70">
        <f>91582.07</f>
        <v>91582.07</v>
      </c>
      <c r="Y69" s="45">
        <f t="shared" si="2"/>
        <v>114582.07</v>
      </c>
      <c r="Z69" s="48">
        <f t="shared" si="9"/>
        <v>0</v>
      </c>
    </row>
    <row r="70" spans="1:26" ht="18.75">
      <c r="A70" s="26"/>
      <c r="B70" s="27"/>
      <c r="C70" s="59" t="s">
        <v>77</v>
      </c>
      <c r="D70" s="17">
        <f t="shared" si="6"/>
        <v>176384.92</v>
      </c>
      <c r="E70" s="21"/>
      <c r="F70" s="56">
        <f t="shared" si="7"/>
        <v>176384.92</v>
      </c>
      <c r="G70" s="60">
        <v>176384.92</v>
      </c>
      <c r="H70" s="56">
        <f>16000</f>
        <v>16000</v>
      </c>
      <c r="I70" s="17">
        <f t="shared" si="10"/>
        <v>9.071070247955436</v>
      </c>
      <c r="J70" s="51">
        <f t="shared" si="11"/>
        <v>99.99999999999983</v>
      </c>
      <c r="L70" s="45">
        <f t="shared" si="12"/>
        <v>2.9103830456733704E-11</v>
      </c>
      <c r="M70" s="13"/>
      <c r="N70" s="13"/>
      <c r="O70" s="72"/>
      <c r="P70" s="72">
        <f>176384.92-176384.92</f>
        <v>0</v>
      </c>
      <c r="Q70" s="72"/>
      <c r="R70" s="72">
        <v>16000</v>
      </c>
      <c r="S70" s="72">
        <f>176384.92-16000-160300</f>
        <v>84.9200000000128</v>
      </c>
      <c r="T70" s="72">
        <f>160300</f>
        <v>160300</v>
      </c>
      <c r="U70" s="70">
        <f>-87038.47-73346.45</f>
        <v>-160384.91999999998</v>
      </c>
      <c r="V70" s="70"/>
      <c r="W70" s="70"/>
      <c r="X70" s="70">
        <f>87038.47+73346.45</f>
        <v>160384.91999999998</v>
      </c>
      <c r="Y70" s="45">
        <f t="shared" si="2"/>
        <v>176384.92</v>
      </c>
      <c r="Z70" s="48">
        <f t="shared" si="9"/>
        <v>0</v>
      </c>
    </row>
    <row r="71" spans="1:26" ht="18.75">
      <c r="A71" s="26"/>
      <c r="B71" s="27"/>
      <c r="C71" s="59" t="s">
        <v>78</v>
      </c>
      <c r="D71" s="17">
        <f t="shared" si="6"/>
        <v>376807.62</v>
      </c>
      <c r="E71" s="21"/>
      <c r="F71" s="56">
        <f t="shared" si="7"/>
        <v>376807.62</v>
      </c>
      <c r="G71" s="60">
        <v>376807.62</v>
      </c>
      <c r="H71" s="56">
        <f>36000</f>
        <v>36000</v>
      </c>
      <c r="I71" s="17">
        <f t="shared" si="10"/>
        <v>9.553946918589386</v>
      </c>
      <c r="J71" s="51">
        <f t="shared" si="11"/>
        <v>100</v>
      </c>
      <c r="L71" s="45">
        <f t="shared" si="12"/>
        <v>0</v>
      </c>
      <c r="M71" s="13"/>
      <c r="N71" s="13"/>
      <c r="O71" s="72"/>
      <c r="P71" s="72">
        <f>376807.62-376807.62</f>
        <v>0</v>
      </c>
      <c r="Q71" s="72"/>
      <c r="R71" s="72">
        <v>36000</v>
      </c>
      <c r="S71" s="72">
        <f>376807.62-36000-340800</f>
        <v>7.619999999995343</v>
      </c>
      <c r="T71" s="72">
        <f>340800</f>
        <v>340800</v>
      </c>
      <c r="U71" s="70">
        <f>-340807.62</f>
        <v>-340807.62</v>
      </c>
      <c r="V71" s="70"/>
      <c r="W71" s="70"/>
      <c r="X71" s="70">
        <f>340807.62</f>
        <v>340807.62</v>
      </c>
      <c r="Y71" s="45">
        <f t="shared" si="2"/>
        <v>376807.62</v>
      </c>
      <c r="Z71" s="48">
        <f t="shared" si="9"/>
        <v>0</v>
      </c>
    </row>
    <row r="72" spans="1:26" ht="37.5">
      <c r="A72" s="26"/>
      <c r="B72" s="27"/>
      <c r="C72" s="59" t="s">
        <v>79</v>
      </c>
      <c r="D72" s="17">
        <f t="shared" si="6"/>
        <v>1517411.87</v>
      </c>
      <c r="E72" s="21"/>
      <c r="F72" s="56">
        <f t="shared" si="7"/>
        <v>1517411.87</v>
      </c>
      <c r="G72" s="60">
        <f>1245411.87+272000</f>
        <v>1517411.87</v>
      </c>
      <c r="H72" s="56">
        <f>1000000+56000+152290.4+14345.82+292651.2</f>
        <v>1515287.42</v>
      </c>
      <c r="I72" s="17">
        <f t="shared" si="10"/>
        <v>99.85999516400248</v>
      </c>
      <c r="J72" s="51">
        <f t="shared" si="11"/>
        <v>99.99999999999999</v>
      </c>
      <c r="L72" s="45">
        <f t="shared" si="12"/>
        <v>0</v>
      </c>
      <c r="M72" s="13"/>
      <c r="N72" s="13"/>
      <c r="O72" s="72"/>
      <c r="P72" s="72">
        <f>56000+754588.13</f>
        <v>810588.13</v>
      </c>
      <c r="Q72" s="72">
        <f>245411.87+170000+291411.87</f>
        <v>706823.74</v>
      </c>
      <c r="R72" s="72"/>
      <c r="S72" s="72">
        <f>1245411.87-56000-1000000-170000+272000-291411.87</f>
        <v>0</v>
      </c>
      <c r="T72" s="72"/>
      <c r="U72" s="70">
        <f>-2124.45</f>
        <v>-2124.45</v>
      </c>
      <c r="V72" s="70"/>
      <c r="W72" s="70"/>
      <c r="X72" s="70">
        <f>2124.45</f>
        <v>2124.45</v>
      </c>
      <c r="Y72" s="45">
        <f t="shared" si="2"/>
        <v>1517411.87</v>
      </c>
      <c r="Z72" s="48">
        <f t="shared" si="9"/>
        <v>0</v>
      </c>
    </row>
    <row r="73" spans="1:26" ht="18.75">
      <c r="A73" s="26"/>
      <c r="B73" s="27"/>
      <c r="C73" s="55" t="s">
        <v>122</v>
      </c>
      <c r="D73" s="17">
        <f t="shared" si="6"/>
        <v>650000</v>
      </c>
      <c r="E73" s="21"/>
      <c r="F73" s="56">
        <f t="shared" si="7"/>
        <v>650000</v>
      </c>
      <c r="G73" s="60">
        <v>650000</v>
      </c>
      <c r="H73" s="56"/>
      <c r="I73" s="17"/>
      <c r="J73" s="81" t="e">
        <f t="shared" si="11"/>
        <v>#DIV/0!</v>
      </c>
      <c r="L73" s="45">
        <f t="shared" si="12"/>
        <v>0</v>
      </c>
      <c r="M73" s="13"/>
      <c r="N73" s="13"/>
      <c r="O73" s="72"/>
      <c r="P73" s="72"/>
      <c r="Q73" s="72"/>
      <c r="R73" s="72"/>
      <c r="S73" s="72"/>
      <c r="T73" s="72"/>
      <c r="U73" s="70"/>
      <c r="V73" s="70"/>
      <c r="W73" s="70"/>
      <c r="X73" s="75">
        <v>650000</v>
      </c>
      <c r="Y73" s="45">
        <f t="shared" si="2"/>
        <v>650000</v>
      </c>
      <c r="Z73" s="48">
        <f t="shared" si="9"/>
        <v>0</v>
      </c>
    </row>
    <row r="74" spans="1:26" ht="18.75">
      <c r="A74" s="26"/>
      <c r="B74" s="27"/>
      <c r="C74" s="55" t="s">
        <v>80</v>
      </c>
      <c r="D74" s="17">
        <f t="shared" si="6"/>
        <v>115891.03</v>
      </c>
      <c r="E74" s="21"/>
      <c r="F74" s="56">
        <f t="shared" si="7"/>
        <v>115891.03</v>
      </c>
      <c r="G74" s="56">
        <v>115891.03</v>
      </c>
      <c r="H74" s="56"/>
      <c r="I74" s="39">
        <f t="shared" si="10"/>
        <v>0</v>
      </c>
      <c r="J74" s="51">
        <f t="shared" si="11"/>
        <v>0</v>
      </c>
      <c r="L74" s="45">
        <f t="shared" si="12"/>
        <v>891.0299999999988</v>
      </c>
      <c r="M74" s="13"/>
      <c r="N74" s="13"/>
      <c r="O74" s="69"/>
      <c r="P74" s="69"/>
      <c r="Q74" s="69">
        <f>115891.03-115000</f>
        <v>891.0299999999988</v>
      </c>
      <c r="R74" s="69"/>
      <c r="S74" s="69">
        <f>115000-115000</f>
        <v>0</v>
      </c>
      <c r="T74" s="69"/>
      <c r="U74" s="70"/>
      <c r="V74" s="86">
        <f>115000-115000</f>
        <v>0</v>
      </c>
      <c r="W74" s="86"/>
      <c r="X74" s="86">
        <f>115000</f>
        <v>115000</v>
      </c>
      <c r="Y74" s="45">
        <f t="shared" si="2"/>
        <v>115891.03</v>
      </c>
      <c r="Z74" s="48">
        <f t="shared" si="9"/>
        <v>0</v>
      </c>
    </row>
    <row r="75" spans="1:26" ht="18.75">
      <c r="A75" s="26"/>
      <c r="B75" s="27"/>
      <c r="C75" s="55" t="s">
        <v>81</v>
      </c>
      <c r="D75" s="17">
        <f t="shared" si="6"/>
        <v>1042820.97</v>
      </c>
      <c r="E75" s="21"/>
      <c r="F75" s="56">
        <f t="shared" si="7"/>
        <v>1042820.97</v>
      </c>
      <c r="G75" s="56">
        <f>584108.97+5250+453462</f>
        <v>1042820.97</v>
      </c>
      <c r="H75" s="56">
        <f>286000+50433.63+4759.51-139782.21</f>
        <v>201410.93000000002</v>
      </c>
      <c r="I75" s="17">
        <f t="shared" si="10"/>
        <v>19.31404678216243</v>
      </c>
      <c r="J75" s="51">
        <f t="shared" si="11"/>
        <v>23.411138054672783</v>
      </c>
      <c r="L75" s="45">
        <f t="shared" si="12"/>
        <v>658910.0399999999</v>
      </c>
      <c r="M75" s="13"/>
      <c r="N75" s="13"/>
      <c r="O75" s="75">
        <f>286000-286000</f>
        <v>0</v>
      </c>
      <c r="P75" s="75">
        <f>298108.97+5250-17000</f>
        <v>286358.97</v>
      </c>
      <c r="Q75" s="69"/>
      <c r="R75" s="69"/>
      <c r="S75" s="69">
        <f>303000-248000</f>
        <v>55000</v>
      </c>
      <c r="T75" s="69">
        <f>248000</f>
        <v>248000</v>
      </c>
      <c r="U75" s="70">
        <f>53462</f>
        <v>53462</v>
      </c>
      <c r="V75" s="70">
        <f>400000-182500</f>
        <v>217500</v>
      </c>
      <c r="W75" s="70"/>
      <c r="X75" s="70">
        <f>182500</f>
        <v>182500</v>
      </c>
      <c r="Y75" s="45">
        <f t="shared" si="2"/>
        <v>1042820.97</v>
      </c>
      <c r="Z75" s="48">
        <f t="shared" si="9"/>
        <v>0</v>
      </c>
    </row>
    <row r="76" spans="1:26" ht="18.75" hidden="1">
      <c r="A76" s="26"/>
      <c r="B76" s="27"/>
      <c r="C76" s="55" t="s">
        <v>82</v>
      </c>
      <c r="D76" s="17">
        <f t="shared" si="6"/>
        <v>0</v>
      </c>
      <c r="E76" s="21"/>
      <c r="F76" s="56">
        <f t="shared" si="7"/>
        <v>0</v>
      </c>
      <c r="G76" s="56">
        <f>400000-400000</f>
        <v>0</v>
      </c>
      <c r="H76" s="56"/>
      <c r="I76" s="39" t="e">
        <f t="shared" si="10"/>
        <v>#DIV/0!</v>
      </c>
      <c r="J76" s="51" t="e">
        <f t="shared" si="11"/>
        <v>#DIV/0!</v>
      </c>
      <c r="L76" s="45">
        <f t="shared" si="12"/>
        <v>0</v>
      </c>
      <c r="M76" s="13"/>
      <c r="N76" s="13"/>
      <c r="O76" s="69"/>
      <c r="P76" s="69">
        <f>40000-40000</f>
        <v>0</v>
      </c>
      <c r="Q76" s="69">
        <f>250000-170000-80000</f>
        <v>0</v>
      </c>
      <c r="R76" s="69"/>
      <c r="S76" s="69">
        <f>110000+170000-280000</f>
        <v>0</v>
      </c>
      <c r="T76" s="69"/>
      <c r="U76" s="70"/>
      <c r="V76" s="70">
        <f>120000+280000-400000</f>
        <v>0</v>
      </c>
      <c r="W76" s="70"/>
      <c r="X76" s="70"/>
      <c r="Y76" s="45">
        <f t="shared" si="2"/>
        <v>0</v>
      </c>
      <c r="Z76" s="48">
        <f t="shared" si="9"/>
        <v>0</v>
      </c>
    </row>
    <row r="77" spans="1:26" ht="37.5">
      <c r="A77" s="26"/>
      <c r="B77" s="27"/>
      <c r="C77" s="55" t="s">
        <v>83</v>
      </c>
      <c r="D77" s="17">
        <f t="shared" si="6"/>
        <v>202968.32</v>
      </c>
      <c r="E77" s="21"/>
      <c r="F77" s="56">
        <f t="shared" si="7"/>
        <v>202968.32</v>
      </c>
      <c r="G77" s="56">
        <f>201000+1968.32</f>
        <v>202968.32</v>
      </c>
      <c r="H77" s="56">
        <f>190086.61</f>
        <v>190086.61</v>
      </c>
      <c r="I77" s="17">
        <f t="shared" si="10"/>
        <v>93.65333959506586</v>
      </c>
      <c r="J77" s="51">
        <f t="shared" si="11"/>
        <v>93.65333959506586</v>
      </c>
      <c r="L77" s="45">
        <f t="shared" si="12"/>
        <v>12881.710000000021</v>
      </c>
      <c r="M77" s="13"/>
      <c r="N77" s="13"/>
      <c r="O77" s="69"/>
      <c r="P77" s="75">
        <f>201000+1968.32</f>
        <v>202968.32</v>
      </c>
      <c r="Q77" s="69"/>
      <c r="R77" s="69"/>
      <c r="S77" s="69"/>
      <c r="T77" s="69"/>
      <c r="U77" s="70">
        <f>-12881.71</f>
        <v>-12881.71</v>
      </c>
      <c r="V77" s="70">
        <f>12881.71</f>
        <v>12881.71</v>
      </c>
      <c r="W77" s="70"/>
      <c r="X77" s="70">
        <f>12881.71-12881.71</f>
        <v>0</v>
      </c>
      <c r="Y77" s="45">
        <f t="shared" si="2"/>
        <v>202968.32</v>
      </c>
      <c r="Z77" s="48">
        <f t="shared" si="9"/>
        <v>0</v>
      </c>
    </row>
    <row r="78" spans="1:26" ht="37.5">
      <c r="A78" s="26"/>
      <c r="B78" s="27"/>
      <c r="C78" s="55" t="s">
        <v>84</v>
      </c>
      <c r="D78" s="17">
        <f t="shared" si="6"/>
        <v>145717.01</v>
      </c>
      <c r="E78" s="21"/>
      <c r="F78" s="56">
        <f t="shared" si="7"/>
        <v>145717.01</v>
      </c>
      <c r="G78" s="56">
        <f>145000+717.01</f>
        <v>145717.01</v>
      </c>
      <c r="H78" s="56">
        <f>137489.66</f>
        <v>137489.66</v>
      </c>
      <c r="I78" s="17">
        <f t="shared" si="10"/>
        <v>94.3538849719741</v>
      </c>
      <c r="J78" s="51">
        <f t="shared" si="11"/>
        <v>94.3538849719741</v>
      </c>
      <c r="L78" s="45">
        <f t="shared" si="12"/>
        <v>8227.350000000006</v>
      </c>
      <c r="M78" s="13"/>
      <c r="N78" s="13"/>
      <c r="O78" s="69"/>
      <c r="P78" s="75">
        <f>145000+717.01</f>
        <v>145717.01</v>
      </c>
      <c r="Q78" s="69"/>
      <c r="R78" s="69"/>
      <c r="S78" s="69"/>
      <c r="T78" s="69"/>
      <c r="U78" s="70">
        <f>-8227.35</f>
        <v>-8227.35</v>
      </c>
      <c r="V78" s="70">
        <f>8227.35</f>
        <v>8227.35</v>
      </c>
      <c r="W78" s="70"/>
      <c r="X78" s="70">
        <f>8227.35-8227.35</f>
        <v>0</v>
      </c>
      <c r="Y78" s="45">
        <f t="shared" si="2"/>
        <v>145717.01</v>
      </c>
      <c r="Z78" s="48">
        <f t="shared" si="9"/>
        <v>0</v>
      </c>
    </row>
    <row r="79" spans="1:26" ht="18.75">
      <c r="A79" s="26"/>
      <c r="B79" s="27"/>
      <c r="C79" s="55" t="s">
        <v>123</v>
      </c>
      <c r="D79" s="17">
        <f t="shared" si="6"/>
        <v>3000000</v>
      </c>
      <c r="E79" s="21"/>
      <c r="F79" s="56">
        <f t="shared" si="7"/>
        <v>3000000</v>
      </c>
      <c r="G79" s="56">
        <f>1338431.61+1340.08+1660228.31</f>
        <v>3000000</v>
      </c>
      <c r="H79" s="56"/>
      <c r="I79" s="17"/>
      <c r="J79" s="51">
        <f t="shared" si="11"/>
        <v>0</v>
      </c>
      <c r="L79" s="45">
        <f t="shared" si="12"/>
        <v>1340.08</v>
      </c>
      <c r="M79" s="13"/>
      <c r="N79" s="13"/>
      <c r="O79" s="69"/>
      <c r="P79" s="75"/>
      <c r="Q79" s="69"/>
      <c r="R79" s="69"/>
      <c r="S79" s="69"/>
      <c r="T79" s="69"/>
      <c r="U79" s="75">
        <v>1340.08</v>
      </c>
      <c r="V79" s="75"/>
      <c r="W79" s="75"/>
      <c r="X79" s="75">
        <f>1660228.31+1338431.61</f>
        <v>2998659.92</v>
      </c>
      <c r="Y79" s="45">
        <f t="shared" si="2"/>
        <v>3000000</v>
      </c>
      <c r="Z79" s="48">
        <f t="shared" si="9"/>
        <v>0</v>
      </c>
    </row>
    <row r="80" spans="1:26" ht="18.75">
      <c r="A80" s="26"/>
      <c r="B80" s="27"/>
      <c r="C80" s="55" t="s">
        <v>85</v>
      </c>
      <c r="D80" s="17">
        <f t="shared" si="6"/>
        <v>1500000</v>
      </c>
      <c r="E80" s="21"/>
      <c r="F80" s="56">
        <f t="shared" si="7"/>
        <v>1500000</v>
      </c>
      <c r="G80" s="56">
        <v>1500000</v>
      </c>
      <c r="H80" s="56">
        <f>61000+900000+12600</f>
        <v>973600</v>
      </c>
      <c r="I80" s="77">
        <f t="shared" si="10"/>
        <v>64.90666666666667</v>
      </c>
      <c r="J80" s="51">
        <f t="shared" si="11"/>
        <v>91.67608286252354</v>
      </c>
      <c r="L80" s="45">
        <f t="shared" si="12"/>
        <v>88400</v>
      </c>
      <c r="M80" s="13"/>
      <c r="N80" s="13"/>
      <c r="O80" s="69"/>
      <c r="P80" s="69"/>
      <c r="Q80" s="69">
        <f>1000000-44161.91</f>
        <v>955838.09</v>
      </c>
      <c r="R80" s="69">
        <f>22408.54-17000</f>
        <v>5408.540000000001</v>
      </c>
      <c r="S80" s="69"/>
      <c r="T80" s="69">
        <v>500000</v>
      </c>
      <c r="U80" s="70">
        <f>17000-517000</f>
        <v>-500000</v>
      </c>
      <c r="V80" s="70">
        <f>280000-201000</f>
        <v>79000</v>
      </c>
      <c r="W80" s="70">
        <v>21753.37</v>
      </c>
      <c r="X80" s="70">
        <f>237000+201000</f>
        <v>438000</v>
      </c>
      <c r="Y80" s="45">
        <f t="shared" si="2"/>
        <v>1500000</v>
      </c>
      <c r="Z80" s="48">
        <f t="shared" si="9"/>
        <v>0</v>
      </c>
    </row>
    <row r="81" spans="1:26" ht="18.75">
      <c r="A81" s="26"/>
      <c r="B81" s="27"/>
      <c r="C81" s="55" t="s">
        <v>86</v>
      </c>
      <c r="D81" s="17">
        <f>E81+F81</f>
        <v>10000</v>
      </c>
      <c r="E81" s="21"/>
      <c r="F81" s="56">
        <f>G81</f>
        <v>10000</v>
      </c>
      <c r="G81" s="56">
        <v>10000</v>
      </c>
      <c r="H81" s="56"/>
      <c r="I81" s="39">
        <f t="shared" si="10"/>
        <v>0</v>
      </c>
      <c r="J81" s="51">
        <f t="shared" si="11"/>
        <v>0</v>
      </c>
      <c r="L81" s="45">
        <f t="shared" si="12"/>
        <v>10000</v>
      </c>
      <c r="M81" s="13"/>
      <c r="N81" s="13"/>
      <c r="O81" s="69"/>
      <c r="P81" s="69">
        <v>10000</v>
      </c>
      <c r="Q81" s="69"/>
      <c r="R81" s="69"/>
      <c r="S81" s="69"/>
      <c r="T81" s="69"/>
      <c r="U81" s="70"/>
      <c r="V81" s="70"/>
      <c r="W81" s="70"/>
      <c r="X81" s="70"/>
      <c r="Y81" s="45">
        <f t="shared" si="2"/>
        <v>10000</v>
      </c>
      <c r="Z81" s="48">
        <f t="shared" si="9"/>
        <v>0</v>
      </c>
    </row>
    <row r="82" spans="1:26" ht="18.75">
      <c r="A82" s="26"/>
      <c r="B82" s="27"/>
      <c r="C82" s="59" t="s">
        <v>124</v>
      </c>
      <c r="D82" s="17">
        <f>E82+F82</f>
        <v>600000</v>
      </c>
      <c r="E82" s="21"/>
      <c r="F82" s="56">
        <f>G82</f>
        <v>600000</v>
      </c>
      <c r="G82" s="56">
        <v>600000</v>
      </c>
      <c r="H82" s="56">
        <f>215000+222837</f>
        <v>437837</v>
      </c>
      <c r="I82" s="17">
        <f t="shared" si="10"/>
        <v>72.97283333333333</v>
      </c>
      <c r="J82" s="51">
        <f t="shared" si="11"/>
        <v>99.96278538812786</v>
      </c>
      <c r="L82" s="45">
        <f t="shared" si="12"/>
        <v>163</v>
      </c>
      <c r="M82" s="13"/>
      <c r="N82" s="13"/>
      <c r="O82" s="69"/>
      <c r="P82" s="69"/>
      <c r="Q82" s="69"/>
      <c r="R82" s="69"/>
      <c r="S82" s="69"/>
      <c r="T82" s="69"/>
      <c r="U82" s="76">
        <v>237000</v>
      </c>
      <c r="V82" s="76">
        <f>201000</f>
        <v>201000</v>
      </c>
      <c r="W82" s="76"/>
      <c r="X82" s="76">
        <f>600000-237000-201000</f>
        <v>162000</v>
      </c>
      <c r="Y82" s="45">
        <f aca="true" t="shared" si="13" ref="Y82:Y124">SUM(M82:X82)</f>
        <v>600000</v>
      </c>
      <c r="Z82" s="48">
        <f t="shared" si="9"/>
        <v>0</v>
      </c>
    </row>
    <row r="83" spans="1:26" ht="18.75">
      <c r="A83" s="26"/>
      <c r="B83" s="27"/>
      <c r="C83" s="55" t="s">
        <v>87</v>
      </c>
      <c r="D83" s="17">
        <f t="shared" si="6"/>
        <v>72500</v>
      </c>
      <c r="E83" s="21"/>
      <c r="F83" s="56">
        <f t="shared" si="7"/>
        <v>72500</v>
      </c>
      <c r="G83" s="56">
        <v>72500</v>
      </c>
      <c r="H83" s="56"/>
      <c r="I83" s="39">
        <f t="shared" si="10"/>
        <v>0</v>
      </c>
      <c r="J83" s="81" t="e">
        <f t="shared" si="11"/>
        <v>#DIV/0!</v>
      </c>
      <c r="L83" s="45">
        <f t="shared" si="12"/>
        <v>0</v>
      </c>
      <c r="M83" s="13"/>
      <c r="N83" s="13"/>
      <c r="O83" s="69"/>
      <c r="P83" s="69"/>
      <c r="Q83" s="69"/>
      <c r="R83" s="69"/>
      <c r="S83" s="69"/>
      <c r="T83" s="69"/>
      <c r="U83" s="70"/>
      <c r="V83" s="70"/>
      <c r="W83" s="70"/>
      <c r="X83" s="70">
        <v>72500</v>
      </c>
      <c r="Y83" s="45">
        <f t="shared" si="13"/>
        <v>72500</v>
      </c>
      <c r="Z83" s="48">
        <f t="shared" si="9"/>
        <v>0</v>
      </c>
    </row>
    <row r="84" spans="1:26" ht="18.75">
      <c r="A84" s="26"/>
      <c r="B84" s="27"/>
      <c r="C84" s="55" t="s">
        <v>118</v>
      </c>
      <c r="D84" s="17">
        <f t="shared" si="6"/>
        <v>1600000</v>
      </c>
      <c r="E84" s="21"/>
      <c r="F84" s="56">
        <f t="shared" si="7"/>
        <v>1600000</v>
      </c>
      <c r="G84" s="56">
        <v>1600000</v>
      </c>
      <c r="H84" s="56">
        <f>48000+1000000</f>
        <v>1048000</v>
      </c>
      <c r="I84" s="77">
        <f t="shared" si="10"/>
        <v>65.5</v>
      </c>
      <c r="J84" s="51">
        <f t="shared" si="11"/>
        <v>68.94736842105263</v>
      </c>
      <c r="L84" s="45">
        <f t="shared" si="12"/>
        <v>472000</v>
      </c>
      <c r="M84" s="13"/>
      <c r="N84" s="13"/>
      <c r="O84" s="69"/>
      <c r="P84" s="69"/>
      <c r="Q84" s="69"/>
      <c r="R84" s="69"/>
      <c r="S84" s="69"/>
      <c r="T84" s="69"/>
      <c r="U84" s="70">
        <f>815000+280000</f>
        <v>1095000</v>
      </c>
      <c r="V84" s="70">
        <f>785000-280000</f>
        <v>505000</v>
      </c>
      <c r="W84" s="70">
        <f>-80000</f>
        <v>-80000</v>
      </c>
      <c r="X84" s="70">
        <f>80000</f>
        <v>80000</v>
      </c>
      <c r="Y84" s="45">
        <f t="shared" si="13"/>
        <v>1600000</v>
      </c>
      <c r="Z84" s="48">
        <f t="shared" si="9"/>
        <v>0</v>
      </c>
    </row>
    <row r="85" spans="1:26" ht="37.5">
      <c r="A85" s="26"/>
      <c r="B85" s="27"/>
      <c r="C85" s="55" t="s">
        <v>88</v>
      </c>
      <c r="D85" s="17">
        <f t="shared" si="6"/>
        <v>62084.4</v>
      </c>
      <c r="E85" s="21"/>
      <c r="F85" s="56">
        <f t="shared" si="7"/>
        <v>62084.4</v>
      </c>
      <c r="G85" s="56">
        <f>45000+17084.4</f>
        <v>62084.4</v>
      </c>
      <c r="H85" s="56"/>
      <c r="I85" s="39">
        <f t="shared" si="10"/>
        <v>0</v>
      </c>
      <c r="J85" s="51">
        <f t="shared" si="11"/>
        <v>0</v>
      </c>
      <c r="L85" s="45">
        <f t="shared" si="12"/>
        <v>45000</v>
      </c>
      <c r="M85" s="13"/>
      <c r="N85" s="13"/>
      <c r="O85" s="69"/>
      <c r="P85" s="69">
        <f>45000-45000</f>
        <v>0</v>
      </c>
      <c r="Q85" s="69"/>
      <c r="R85" s="69"/>
      <c r="S85" s="69"/>
      <c r="T85" s="69"/>
      <c r="U85" s="70">
        <f>45000</f>
        <v>45000</v>
      </c>
      <c r="V85" s="70"/>
      <c r="W85" s="70"/>
      <c r="X85" s="76">
        <f>17084.4</f>
        <v>17084.4</v>
      </c>
      <c r="Y85" s="45">
        <f t="shared" si="13"/>
        <v>62084.4</v>
      </c>
      <c r="Z85" s="48">
        <f t="shared" si="9"/>
        <v>0</v>
      </c>
    </row>
    <row r="86" spans="1:26" ht="18.75">
      <c r="A86" s="87" t="s">
        <v>89</v>
      </c>
      <c r="B86" s="88"/>
      <c r="C86" s="88"/>
      <c r="D86" s="88"/>
      <c r="E86" s="88"/>
      <c r="F86" s="88"/>
      <c r="G86" s="89"/>
      <c r="H86" s="13"/>
      <c r="I86" s="54"/>
      <c r="J86" s="51"/>
      <c r="L86" s="45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45">
        <f t="shared" si="13"/>
        <v>0</v>
      </c>
      <c r="Z86" s="48">
        <f t="shared" si="9"/>
        <v>0</v>
      </c>
    </row>
    <row r="87" spans="1:26" ht="37.5">
      <c r="A87" s="5">
        <v>2</v>
      </c>
      <c r="B87" s="6"/>
      <c r="C87" s="7" t="s">
        <v>4</v>
      </c>
      <c r="D87" s="8">
        <f>E87+F87</f>
        <v>145474378.81</v>
      </c>
      <c r="E87" s="61"/>
      <c r="F87" s="8">
        <f>SUM(F88:F123)</f>
        <v>145474378.81</v>
      </c>
      <c r="G87" s="8">
        <f>SUM(G88:G123)</f>
        <v>145474378.81</v>
      </c>
      <c r="H87" s="8">
        <f>SUM(H88:H123)</f>
        <v>67919941.41999999</v>
      </c>
      <c r="I87" s="8">
        <f t="shared" si="10"/>
        <v>46.68859353488515</v>
      </c>
      <c r="J87" s="8">
        <f>(H87/(M87+N87+O87+P87+Q87+R87+S87+T87+U87+V87+W87))*100</f>
        <v>61.486980589206865</v>
      </c>
      <c r="L87" s="50">
        <f>(M87+N87+O87+P87+Q87+R87+S87+T87+U87+V87+W87)-H87</f>
        <v>42542372.34000002</v>
      </c>
      <c r="M87" s="68">
        <f>SUM(M88:M123)</f>
        <v>0</v>
      </c>
      <c r="N87" s="68">
        <f aca="true" t="shared" si="14" ref="N87:X87">SUM(N88:N123)</f>
        <v>0</v>
      </c>
      <c r="O87" s="50">
        <f t="shared" si="14"/>
        <v>8050000</v>
      </c>
      <c r="P87" s="50">
        <f t="shared" si="14"/>
        <v>21834756.8</v>
      </c>
      <c r="Q87" s="50">
        <f t="shared" si="14"/>
        <v>8822800</v>
      </c>
      <c r="R87" s="50">
        <f t="shared" si="14"/>
        <v>11378056.360000001</v>
      </c>
      <c r="S87" s="50">
        <f t="shared" si="14"/>
        <v>12589502.09</v>
      </c>
      <c r="T87" s="50">
        <f t="shared" si="14"/>
        <v>14820167.76</v>
      </c>
      <c r="U87" s="50">
        <f t="shared" si="14"/>
        <v>6801270.15</v>
      </c>
      <c r="V87" s="50">
        <f t="shared" si="14"/>
        <v>10434000</v>
      </c>
      <c r="W87" s="50">
        <f t="shared" si="14"/>
        <v>15731760.6</v>
      </c>
      <c r="X87" s="50">
        <f t="shared" si="14"/>
        <v>35012065.05</v>
      </c>
      <c r="Y87" s="50">
        <f t="shared" si="13"/>
        <v>145474378.81</v>
      </c>
      <c r="Z87" s="48">
        <f t="shared" si="9"/>
        <v>0</v>
      </c>
    </row>
    <row r="88" spans="1:26" ht="18.75">
      <c r="A88" s="62"/>
      <c r="B88" s="18"/>
      <c r="C88" s="55" t="s">
        <v>90</v>
      </c>
      <c r="D88" s="17">
        <f aca="true" t="shared" si="15" ref="D88:D123">E88+F88</f>
        <v>800000</v>
      </c>
      <c r="E88" s="21"/>
      <c r="F88" s="56">
        <f aca="true" t="shared" si="16" ref="F88:F123">G88</f>
        <v>800000</v>
      </c>
      <c r="G88" s="56">
        <v>800000</v>
      </c>
      <c r="H88" s="57">
        <f>460335.6+49987.85-2810.4-15095.45+15095.45+7695</f>
        <v>515208.04999999993</v>
      </c>
      <c r="I88" s="17">
        <f t="shared" si="10"/>
        <v>64.40100625</v>
      </c>
      <c r="J88" s="51">
        <f>(H88/(M88+N88+O88+P88+Q88+R88+S88+T88+U88+V88+W88))*100</f>
        <v>64.40100625</v>
      </c>
      <c r="L88" s="45">
        <f>(M88+N88+O88+P88+Q88+R88+S88+T88+U88+V88+W88)-H88</f>
        <v>284791.95000000007</v>
      </c>
      <c r="M88" s="66"/>
      <c r="N88" s="66"/>
      <c r="O88" s="66"/>
      <c r="P88" s="66">
        <v>600000</v>
      </c>
      <c r="Q88" s="66">
        <v>200000</v>
      </c>
      <c r="R88" s="66"/>
      <c r="S88" s="66"/>
      <c r="T88" s="66"/>
      <c r="U88" s="66"/>
      <c r="V88" s="66"/>
      <c r="W88" s="66"/>
      <c r="X88" s="66"/>
      <c r="Y88" s="45">
        <f t="shared" si="13"/>
        <v>800000</v>
      </c>
      <c r="Z88" s="48">
        <f t="shared" si="9"/>
        <v>0</v>
      </c>
    </row>
    <row r="89" spans="1:26" ht="24" customHeight="1">
      <c r="A89" s="62"/>
      <c r="B89" s="18"/>
      <c r="C89" s="82" t="s">
        <v>115</v>
      </c>
      <c r="D89" s="17">
        <f t="shared" si="15"/>
        <v>5863886</v>
      </c>
      <c r="E89" s="21"/>
      <c r="F89" s="56">
        <f t="shared" si="16"/>
        <v>5863886</v>
      </c>
      <c r="G89" s="56">
        <f>3000000+2863886</f>
        <v>5863886</v>
      </c>
      <c r="H89" s="57">
        <f>87741.39+1410000+801919.2</f>
        <v>2299660.59</v>
      </c>
      <c r="I89" s="17">
        <f t="shared" si="10"/>
        <v>39.21734818855619</v>
      </c>
      <c r="J89" s="51">
        <f aca="true" t="shared" si="17" ref="J89:J123">(H89/(M89+N89+O89+P89+Q89+R89+S89+T89+U89+V89+W89))*100</f>
        <v>52.26501340909091</v>
      </c>
      <c r="L89" s="45">
        <f aca="true" t="shared" si="18" ref="L89:L124">(M89+N89+O89+P89+Q89+R89+S89+T89+U89+V89+W89)-H89</f>
        <v>2100339.41</v>
      </c>
      <c r="M89" s="66"/>
      <c r="N89" s="66"/>
      <c r="O89" s="66"/>
      <c r="P89" s="66"/>
      <c r="Q89" s="66"/>
      <c r="R89" s="66"/>
      <c r="S89" s="66">
        <f>100000</f>
        <v>100000</v>
      </c>
      <c r="T89" s="66"/>
      <c r="U89" s="76">
        <v>1400000</v>
      </c>
      <c r="V89" s="76">
        <f>1000000-100000</f>
        <v>900000</v>
      </c>
      <c r="W89" s="76">
        <v>2000000</v>
      </c>
      <c r="X89" s="76">
        <f>2863886-1400000</f>
        <v>1463886</v>
      </c>
      <c r="Y89" s="45">
        <f t="shared" si="13"/>
        <v>5863886</v>
      </c>
      <c r="Z89" s="48">
        <f t="shared" si="9"/>
        <v>0</v>
      </c>
    </row>
    <row r="90" spans="1:26" ht="24" customHeight="1">
      <c r="A90" s="62"/>
      <c r="B90" s="18"/>
      <c r="C90" s="55" t="s">
        <v>125</v>
      </c>
      <c r="D90" s="17">
        <f t="shared" si="15"/>
        <v>300000</v>
      </c>
      <c r="E90" s="21"/>
      <c r="F90" s="56">
        <f t="shared" si="16"/>
        <v>300000</v>
      </c>
      <c r="G90" s="56">
        <f>300000</f>
        <v>300000</v>
      </c>
      <c r="H90" s="57"/>
      <c r="I90" s="17"/>
      <c r="J90" s="81" t="e">
        <f t="shared" si="17"/>
        <v>#DIV/0!</v>
      </c>
      <c r="L90" s="45">
        <f t="shared" si="18"/>
        <v>0</v>
      </c>
      <c r="M90" s="66"/>
      <c r="N90" s="66"/>
      <c r="O90" s="66"/>
      <c r="P90" s="66"/>
      <c r="Q90" s="66"/>
      <c r="R90" s="66"/>
      <c r="S90" s="66"/>
      <c r="T90" s="66"/>
      <c r="U90" s="76"/>
      <c r="V90" s="76"/>
      <c r="W90" s="76"/>
      <c r="X90" s="76">
        <v>300000</v>
      </c>
      <c r="Y90" s="45">
        <f t="shared" si="13"/>
        <v>300000</v>
      </c>
      <c r="Z90" s="48">
        <f t="shared" si="9"/>
        <v>0</v>
      </c>
    </row>
    <row r="91" spans="1:26" ht="24" customHeight="1">
      <c r="A91" s="62"/>
      <c r="B91" s="18"/>
      <c r="C91" s="55" t="s">
        <v>126</v>
      </c>
      <c r="D91" s="17">
        <f t="shared" si="15"/>
        <v>376676.89</v>
      </c>
      <c r="E91" s="21"/>
      <c r="F91" s="56">
        <f t="shared" si="16"/>
        <v>376676.89</v>
      </c>
      <c r="G91" s="56">
        <f>376676.89</f>
        <v>376676.89</v>
      </c>
      <c r="H91" s="57">
        <f>33552</f>
        <v>33552</v>
      </c>
      <c r="I91" s="17">
        <f t="shared" si="10"/>
        <v>8.907368859289457</v>
      </c>
      <c r="J91" s="51">
        <f t="shared" si="17"/>
        <v>98.68235294117646</v>
      </c>
      <c r="L91" s="45">
        <f t="shared" si="18"/>
        <v>448</v>
      </c>
      <c r="M91" s="66"/>
      <c r="N91" s="66"/>
      <c r="O91" s="66"/>
      <c r="P91" s="66"/>
      <c r="Q91" s="66"/>
      <c r="R91" s="66"/>
      <c r="S91" s="66"/>
      <c r="T91" s="66"/>
      <c r="U91" s="76"/>
      <c r="V91" s="76">
        <f>34000</f>
        <v>34000</v>
      </c>
      <c r="W91" s="76"/>
      <c r="X91" s="76">
        <f>376676.89-34000</f>
        <v>342676.89</v>
      </c>
      <c r="Y91" s="45">
        <f t="shared" si="13"/>
        <v>376676.89</v>
      </c>
      <c r="Z91" s="48">
        <f t="shared" si="9"/>
        <v>0</v>
      </c>
    </row>
    <row r="92" spans="1:26" ht="18.75">
      <c r="A92" s="62"/>
      <c r="B92" s="18"/>
      <c r="C92" s="55" t="s">
        <v>91</v>
      </c>
      <c r="D92" s="17">
        <f t="shared" si="15"/>
        <v>26805000</v>
      </c>
      <c r="E92" s="21"/>
      <c r="F92" s="56">
        <f t="shared" si="16"/>
        <v>26805000</v>
      </c>
      <c r="G92" s="56">
        <f>8000000-1000000+5000000+10000000-14700000+19505000</f>
        <v>26805000</v>
      </c>
      <c r="H92" s="57">
        <f>2500000+924670.32+19613.05+4000000+2000000+1200000+10900000+242404.98+4895329.66+103985.08</f>
        <v>26786003.089999996</v>
      </c>
      <c r="I92" s="17">
        <f t="shared" si="10"/>
        <v>99.92912922962132</v>
      </c>
      <c r="J92" s="51">
        <f t="shared" si="17"/>
        <v>99.92912922962132</v>
      </c>
      <c r="L92" s="45">
        <f t="shared" si="18"/>
        <v>18996.910000003874</v>
      </c>
      <c r="M92" s="66"/>
      <c r="N92" s="66"/>
      <c r="O92" s="66"/>
      <c r="P92" s="76">
        <f>3437500+4100000</f>
        <v>7537500</v>
      </c>
      <c r="Q92" s="76">
        <f>3437500-2000000+4513387.6</f>
        <v>5950887.6</v>
      </c>
      <c r="R92" s="76">
        <f>90000+5000000+800000+2521612.4</f>
        <v>8411612.4</v>
      </c>
      <c r="S92" s="76">
        <f>5000000-800000-4100000</f>
        <v>100000</v>
      </c>
      <c r="T92" s="76">
        <f>5000000-5000000</f>
        <v>0</v>
      </c>
      <c r="U92" s="76">
        <f>35000-35000+4805000</f>
        <v>4805000</v>
      </c>
      <c r="V92" s="76"/>
      <c r="W92" s="76">
        <f>2000000-2000000</f>
        <v>0</v>
      </c>
      <c r="X92" s="76">
        <f>4805000-4805000</f>
        <v>0</v>
      </c>
      <c r="Y92" s="45">
        <f t="shared" si="13"/>
        <v>26805000</v>
      </c>
      <c r="Z92" s="48">
        <f t="shared" si="9"/>
        <v>0</v>
      </c>
    </row>
    <row r="93" spans="1:26" ht="18.75">
      <c r="A93" s="62"/>
      <c r="B93" s="18"/>
      <c r="C93" s="55" t="s">
        <v>92</v>
      </c>
      <c r="D93" s="17">
        <f t="shared" si="15"/>
        <v>1330000</v>
      </c>
      <c r="E93" s="21"/>
      <c r="F93" s="56">
        <f t="shared" si="16"/>
        <v>1330000</v>
      </c>
      <c r="G93" s="57">
        <f>1300000+30000</f>
        <v>1330000</v>
      </c>
      <c r="H93" s="57">
        <f>27575</f>
        <v>27575</v>
      </c>
      <c r="I93" s="17">
        <f t="shared" si="10"/>
        <v>2.0733082706766917</v>
      </c>
      <c r="J93" s="51">
        <f t="shared" si="17"/>
        <v>2.2219983883964547</v>
      </c>
      <c r="L93" s="45">
        <f t="shared" si="18"/>
        <v>1213425</v>
      </c>
      <c r="M93" s="66"/>
      <c r="N93" s="66"/>
      <c r="O93" s="66"/>
      <c r="P93" s="76">
        <v>650000</v>
      </c>
      <c r="Q93" s="76">
        <v>130000</v>
      </c>
      <c r="R93" s="76">
        <f>260000+30000</f>
        <v>290000</v>
      </c>
      <c r="S93" s="76">
        <v>260000</v>
      </c>
      <c r="T93" s="66"/>
      <c r="U93" s="66"/>
      <c r="V93" s="66">
        <f>-89000</f>
        <v>-89000</v>
      </c>
      <c r="W93" s="66"/>
      <c r="X93" s="66">
        <f>89000</f>
        <v>89000</v>
      </c>
      <c r="Y93" s="45">
        <f t="shared" si="13"/>
        <v>1330000</v>
      </c>
      <c r="Z93" s="48">
        <f aca="true" t="shared" si="19" ref="Z93:Z124">Y93-D93</f>
        <v>0</v>
      </c>
    </row>
    <row r="94" spans="1:26" ht="18.75">
      <c r="A94" s="62"/>
      <c r="B94" s="18"/>
      <c r="C94" s="55" t="s">
        <v>93</v>
      </c>
      <c r="D94" s="17">
        <f t="shared" si="15"/>
        <v>15600000</v>
      </c>
      <c r="E94" s="21"/>
      <c r="F94" s="56">
        <f t="shared" si="16"/>
        <v>15600000</v>
      </c>
      <c r="G94" s="56">
        <f>600000+15000000</f>
        <v>15600000</v>
      </c>
      <c r="H94" s="57">
        <f>577692+778157+1108224</f>
        <v>2464073</v>
      </c>
      <c r="I94" s="17">
        <f aca="true" t="shared" si="20" ref="I94:I107">H94/D94*100</f>
        <v>15.795339743589743</v>
      </c>
      <c r="J94" s="51">
        <f t="shared" si="17"/>
        <v>26.255439531166758</v>
      </c>
      <c r="L94" s="45">
        <f t="shared" si="18"/>
        <v>6920927</v>
      </c>
      <c r="M94" s="66"/>
      <c r="N94" s="66"/>
      <c r="O94" s="66"/>
      <c r="P94" s="66"/>
      <c r="Q94" s="66"/>
      <c r="R94" s="76">
        <f>600000+600000-800000</f>
        <v>400000</v>
      </c>
      <c r="S94" s="76">
        <f>6000000+800000-4000000-100000</f>
        <v>2700000</v>
      </c>
      <c r="T94" s="76">
        <f>6000000+4000000</f>
        <v>10000000</v>
      </c>
      <c r="U94" s="76">
        <f>2400000-6205000-10000</f>
        <v>-3815000</v>
      </c>
      <c r="V94" s="76">
        <v>100000</v>
      </c>
      <c r="W94" s="76"/>
      <c r="X94" s="76">
        <f>6205000+10000</f>
        <v>6215000</v>
      </c>
      <c r="Y94" s="45">
        <f t="shared" si="13"/>
        <v>15600000</v>
      </c>
      <c r="Z94" s="48">
        <f t="shared" si="19"/>
        <v>0</v>
      </c>
    </row>
    <row r="95" spans="1:26" ht="18.75">
      <c r="A95" s="62"/>
      <c r="B95" s="18"/>
      <c r="C95" s="55" t="s">
        <v>127</v>
      </c>
      <c r="D95" s="17">
        <f t="shared" si="15"/>
        <v>1500000</v>
      </c>
      <c r="E95" s="21"/>
      <c r="F95" s="56">
        <f t="shared" si="16"/>
        <v>1500000</v>
      </c>
      <c r="G95" s="57">
        <f>500000+1000000</f>
        <v>1500000</v>
      </c>
      <c r="H95" s="57">
        <f>9752+54700</f>
        <v>64452</v>
      </c>
      <c r="I95" s="17">
        <f t="shared" si="20"/>
        <v>4.2968</v>
      </c>
      <c r="J95" s="51">
        <f t="shared" si="17"/>
        <v>99.15692307692308</v>
      </c>
      <c r="L95" s="45">
        <f t="shared" si="18"/>
        <v>548</v>
      </c>
      <c r="M95" s="66"/>
      <c r="N95" s="66"/>
      <c r="O95" s="66"/>
      <c r="P95" s="66"/>
      <c r="Q95" s="66">
        <f>200000-10000</f>
        <v>190000</v>
      </c>
      <c r="R95" s="66">
        <f>200000+10000-10000</f>
        <v>200000</v>
      </c>
      <c r="S95" s="66">
        <v>100000</v>
      </c>
      <c r="T95" s="66"/>
      <c r="U95" s="66">
        <f>10000-500000+10000</f>
        <v>-480000</v>
      </c>
      <c r="V95" s="66">
        <f>55000</f>
        <v>55000</v>
      </c>
      <c r="W95" s="66"/>
      <c r="X95" s="66">
        <f>1500000-10000-55000</f>
        <v>1435000</v>
      </c>
      <c r="Y95" s="45">
        <f t="shared" si="13"/>
        <v>1500000</v>
      </c>
      <c r="Z95" s="48">
        <f t="shared" si="19"/>
        <v>0</v>
      </c>
    </row>
    <row r="96" spans="1:26" ht="18.75">
      <c r="A96" s="62"/>
      <c r="B96" s="18"/>
      <c r="C96" s="55" t="s">
        <v>117</v>
      </c>
      <c r="D96" s="17">
        <f t="shared" si="15"/>
        <v>300000</v>
      </c>
      <c r="E96" s="21"/>
      <c r="F96" s="56">
        <f t="shared" si="16"/>
        <v>300000</v>
      </c>
      <c r="G96" s="57">
        <v>300000</v>
      </c>
      <c r="H96" s="57">
        <f>5291+11445+28516</f>
        <v>45252</v>
      </c>
      <c r="I96" s="17">
        <f t="shared" si="20"/>
        <v>15.084</v>
      </c>
      <c r="J96" s="51">
        <f t="shared" si="17"/>
        <v>15.084</v>
      </c>
      <c r="L96" s="45">
        <f t="shared" si="18"/>
        <v>254748</v>
      </c>
      <c r="M96" s="66"/>
      <c r="N96" s="66"/>
      <c r="O96" s="66"/>
      <c r="P96" s="66"/>
      <c r="Q96" s="66"/>
      <c r="R96" s="66">
        <f>10000</f>
        <v>10000</v>
      </c>
      <c r="S96" s="66">
        <f>68000</f>
        <v>68000</v>
      </c>
      <c r="T96" s="66"/>
      <c r="U96" s="66">
        <f>200000-10000-68000</f>
        <v>122000</v>
      </c>
      <c r="V96" s="66">
        <v>100000</v>
      </c>
      <c r="W96" s="66"/>
      <c r="X96" s="66"/>
      <c r="Y96" s="45">
        <f t="shared" si="13"/>
        <v>300000</v>
      </c>
      <c r="Z96" s="48">
        <f t="shared" si="19"/>
        <v>0</v>
      </c>
    </row>
    <row r="97" spans="1:26" ht="18.75">
      <c r="A97" s="62"/>
      <c r="B97" s="18"/>
      <c r="C97" s="55" t="s">
        <v>128</v>
      </c>
      <c r="D97" s="17">
        <f t="shared" si="15"/>
        <v>600000</v>
      </c>
      <c r="E97" s="21"/>
      <c r="F97" s="56">
        <f t="shared" si="16"/>
        <v>600000</v>
      </c>
      <c r="G97" s="57">
        <f>600000</f>
        <v>600000</v>
      </c>
      <c r="H97" s="57"/>
      <c r="I97" s="17"/>
      <c r="J97" s="51">
        <f t="shared" si="17"/>
        <v>0</v>
      </c>
      <c r="L97" s="45">
        <f t="shared" si="18"/>
        <v>600000</v>
      </c>
      <c r="M97" s="66"/>
      <c r="N97" s="66"/>
      <c r="O97" s="66"/>
      <c r="P97" s="66"/>
      <c r="Q97" s="66"/>
      <c r="R97" s="66"/>
      <c r="S97" s="66"/>
      <c r="T97" s="66"/>
      <c r="U97" s="75"/>
      <c r="V97" s="75"/>
      <c r="W97" s="75">
        <v>600000</v>
      </c>
      <c r="X97" s="75"/>
      <c r="Y97" s="45">
        <f t="shared" si="13"/>
        <v>600000</v>
      </c>
      <c r="Z97" s="48">
        <f t="shared" si="19"/>
        <v>0</v>
      </c>
    </row>
    <row r="98" spans="1:26" ht="18.75">
      <c r="A98" s="62"/>
      <c r="B98" s="18"/>
      <c r="C98" s="55" t="s">
        <v>129</v>
      </c>
      <c r="D98" s="17">
        <f t="shared" si="15"/>
        <v>350000</v>
      </c>
      <c r="E98" s="21"/>
      <c r="F98" s="56">
        <f t="shared" si="16"/>
        <v>350000</v>
      </c>
      <c r="G98" s="57">
        <f>350000</f>
        <v>350000</v>
      </c>
      <c r="H98" s="57"/>
      <c r="I98" s="17"/>
      <c r="J98" s="51">
        <f t="shared" si="17"/>
        <v>0</v>
      </c>
      <c r="L98" s="45">
        <f t="shared" si="18"/>
        <v>350000</v>
      </c>
      <c r="M98" s="66"/>
      <c r="N98" s="66"/>
      <c r="O98" s="66"/>
      <c r="P98" s="66"/>
      <c r="Q98" s="66"/>
      <c r="R98" s="66"/>
      <c r="S98" s="66"/>
      <c r="T98" s="66"/>
      <c r="U98" s="75"/>
      <c r="V98" s="75"/>
      <c r="W98" s="75">
        <v>350000</v>
      </c>
      <c r="X98" s="75"/>
      <c r="Y98" s="45">
        <f t="shared" si="13"/>
        <v>350000</v>
      </c>
      <c r="Z98" s="48">
        <f t="shared" si="19"/>
        <v>0</v>
      </c>
    </row>
    <row r="99" spans="1:26" ht="37.5">
      <c r="A99" s="62"/>
      <c r="B99" s="18"/>
      <c r="C99" s="55" t="s">
        <v>94</v>
      </c>
      <c r="D99" s="17">
        <f t="shared" si="15"/>
        <v>3556000</v>
      </c>
      <c r="E99" s="21"/>
      <c r="F99" s="56">
        <f t="shared" si="16"/>
        <v>3556000</v>
      </c>
      <c r="G99" s="56">
        <v>3556000</v>
      </c>
      <c r="H99" s="57">
        <f>408764+2547908.4+34315.41+1837.35-190298.72</f>
        <v>2802526.44</v>
      </c>
      <c r="I99" s="17">
        <f t="shared" si="20"/>
        <v>78.81120472440945</v>
      </c>
      <c r="J99" s="51">
        <f t="shared" si="17"/>
        <v>78.81120472440945</v>
      </c>
      <c r="L99" s="45">
        <f t="shared" si="18"/>
        <v>753473.56</v>
      </c>
      <c r="M99" s="66"/>
      <c r="N99" s="66"/>
      <c r="O99" s="66"/>
      <c r="P99" s="66">
        <f>2330000-1000000</f>
        <v>1330000</v>
      </c>
      <c r="Q99" s="66">
        <f>795000-500000+591000</f>
        <v>886000</v>
      </c>
      <c r="R99" s="66">
        <f>431000+400000</f>
        <v>831000</v>
      </c>
      <c r="S99" s="67"/>
      <c r="T99" s="66"/>
      <c r="U99" s="66"/>
      <c r="V99" s="66">
        <f>1000000-991000</f>
        <v>9000</v>
      </c>
      <c r="W99" s="66">
        <v>500000</v>
      </c>
      <c r="X99" s="66"/>
      <c r="Y99" s="45">
        <f t="shared" si="13"/>
        <v>3556000</v>
      </c>
      <c r="Z99" s="48">
        <f t="shared" si="19"/>
        <v>0</v>
      </c>
    </row>
    <row r="100" spans="1:26" ht="37.5">
      <c r="A100" s="62"/>
      <c r="B100" s="18"/>
      <c r="C100" s="55" t="s">
        <v>95</v>
      </c>
      <c r="D100" s="17">
        <f t="shared" si="15"/>
        <v>5963000</v>
      </c>
      <c r="E100" s="21"/>
      <c r="F100" s="56">
        <f t="shared" si="16"/>
        <v>5963000</v>
      </c>
      <c r="G100" s="56">
        <v>5963000</v>
      </c>
      <c r="H100" s="57"/>
      <c r="I100" s="39">
        <f t="shared" si="20"/>
        <v>0</v>
      </c>
      <c r="J100" s="51">
        <f t="shared" si="17"/>
        <v>0</v>
      </c>
      <c r="L100" s="45">
        <f t="shared" si="18"/>
        <v>4094050</v>
      </c>
      <c r="M100" s="66"/>
      <c r="N100" s="66"/>
      <c r="O100" s="66"/>
      <c r="P100" s="66">
        <f>1600000-600000-1000000</f>
        <v>0</v>
      </c>
      <c r="Q100" s="66">
        <f>630000-500000-130000</f>
        <v>0</v>
      </c>
      <c r="R100" s="66">
        <f>1864050-1000000-864050</f>
        <v>0</v>
      </c>
      <c r="S100" s="67"/>
      <c r="T100" s="66"/>
      <c r="U100" s="66">
        <v>1000000</v>
      </c>
      <c r="V100" s="66">
        <v>600000</v>
      </c>
      <c r="W100" s="66">
        <f>500000+1994050</f>
        <v>2494050</v>
      </c>
      <c r="X100" s="66">
        <f>868950+1000000</f>
        <v>1868950</v>
      </c>
      <c r="Y100" s="45">
        <f t="shared" si="13"/>
        <v>5963000</v>
      </c>
      <c r="Z100" s="48">
        <f t="shared" si="19"/>
        <v>0</v>
      </c>
    </row>
    <row r="101" spans="1:26" ht="18.75">
      <c r="A101" s="62"/>
      <c r="B101" s="18"/>
      <c r="C101" s="55" t="s">
        <v>96</v>
      </c>
      <c r="D101" s="17">
        <f t="shared" si="15"/>
        <v>36591901</v>
      </c>
      <c r="E101" s="21"/>
      <c r="F101" s="56">
        <f t="shared" si="16"/>
        <v>36591901</v>
      </c>
      <c r="G101" s="56">
        <f>42821003-3000000-11200000+8422898-650000+198000</f>
        <v>36591901</v>
      </c>
      <c r="H101" s="57">
        <f>7000000+3000000+112682.22-2000000+4000000+1252856.79+2704881.39</f>
        <v>16070420.400000002</v>
      </c>
      <c r="I101" s="17">
        <f t="shared" si="20"/>
        <v>43.9179708099888</v>
      </c>
      <c r="J101" s="51">
        <f t="shared" si="17"/>
        <v>74.77729883506437</v>
      </c>
      <c r="L101" s="45">
        <f t="shared" si="18"/>
        <v>5420621.199999999</v>
      </c>
      <c r="M101" s="66"/>
      <c r="N101" s="66"/>
      <c r="O101" s="75">
        <v>4200000</v>
      </c>
      <c r="P101" s="75">
        <f>8000000-2200000</f>
        <v>5800000</v>
      </c>
      <c r="Q101" s="75">
        <f>7100000-5000000-2100000</f>
        <v>0</v>
      </c>
      <c r="R101" s="75">
        <f>5100000-4000000-1100000</f>
        <v>0</v>
      </c>
      <c r="S101" s="75">
        <f>5200000-5000000+400000+4000000</f>
        <v>4600000</v>
      </c>
      <c r="T101" s="75">
        <f>5080000-5000000+5000000-4000000</f>
        <v>1080000</v>
      </c>
      <c r="U101" s="75">
        <f>5130000-650000</f>
        <v>4480000</v>
      </c>
      <c r="V101" s="75"/>
      <c r="W101" s="75">
        <f>5000000-3668958.4</f>
        <v>1331041.6</v>
      </c>
      <c r="X101" s="75">
        <f>11003+4000000+3668958.4-1200000+198000+8422898</f>
        <v>15100859.4</v>
      </c>
      <c r="Y101" s="45">
        <f t="shared" si="13"/>
        <v>36591901</v>
      </c>
      <c r="Z101" s="48">
        <f t="shared" si="19"/>
        <v>0</v>
      </c>
    </row>
    <row r="102" spans="1:26" ht="18.75">
      <c r="A102" s="62"/>
      <c r="B102" s="18"/>
      <c r="C102" s="55" t="s">
        <v>130</v>
      </c>
      <c r="D102" s="17">
        <f t="shared" si="15"/>
        <v>430000</v>
      </c>
      <c r="E102" s="21"/>
      <c r="F102" s="56">
        <f t="shared" si="16"/>
        <v>430000</v>
      </c>
      <c r="G102" s="56">
        <f>430000</f>
        <v>430000</v>
      </c>
      <c r="H102" s="57"/>
      <c r="I102" s="17"/>
      <c r="J102" s="81" t="e">
        <f t="shared" si="17"/>
        <v>#DIV/0!</v>
      </c>
      <c r="L102" s="45">
        <f t="shared" si="18"/>
        <v>0</v>
      </c>
      <c r="M102" s="66"/>
      <c r="N102" s="66"/>
      <c r="O102" s="75"/>
      <c r="P102" s="75"/>
      <c r="Q102" s="75"/>
      <c r="R102" s="75"/>
      <c r="S102" s="75"/>
      <c r="T102" s="75"/>
      <c r="U102" s="75"/>
      <c r="V102" s="75"/>
      <c r="W102" s="75"/>
      <c r="X102" s="75">
        <v>430000</v>
      </c>
      <c r="Y102" s="45">
        <f t="shared" si="13"/>
        <v>430000</v>
      </c>
      <c r="Z102" s="48">
        <f t="shared" si="19"/>
        <v>0</v>
      </c>
    </row>
    <row r="103" spans="1:26" ht="18.75">
      <c r="A103" s="62"/>
      <c r="B103" s="18"/>
      <c r="C103" s="55" t="s">
        <v>116</v>
      </c>
      <c r="D103" s="17">
        <f t="shared" si="15"/>
        <v>5300000</v>
      </c>
      <c r="E103" s="21"/>
      <c r="F103" s="56">
        <f t="shared" si="16"/>
        <v>5300000</v>
      </c>
      <c r="G103" s="56">
        <f>500000+4800000</f>
        <v>5300000</v>
      </c>
      <c r="H103" s="57">
        <f>500000+366829</f>
        <v>866829</v>
      </c>
      <c r="I103" s="17">
        <f>H103/D103*100</f>
        <v>16.3552641509434</v>
      </c>
      <c r="J103" s="51">
        <f t="shared" si="17"/>
        <v>100</v>
      </c>
      <c r="L103" s="45">
        <f t="shared" si="18"/>
        <v>0</v>
      </c>
      <c r="M103" s="66"/>
      <c r="N103" s="66"/>
      <c r="O103" s="66"/>
      <c r="P103" s="66"/>
      <c r="Q103" s="66"/>
      <c r="R103" s="66"/>
      <c r="S103" s="66"/>
      <c r="T103" s="66"/>
      <c r="U103" s="75">
        <v>400000</v>
      </c>
      <c r="V103" s="75">
        <f>100000+366829</f>
        <v>466829</v>
      </c>
      <c r="W103" s="75"/>
      <c r="X103" s="75">
        <f>4800000-366829</f>
        <v>4433171</v>
      </c>
      <c r="Y103" s="45">
        <f t="shared" si="13"/>
        <v>5300000</v>
      </c>
      <c r="Z103" s="48">
        <f t="shared" si="19"/>
        <v>0</v>
      </c>
    </row>
    <row r="104" spans="1:26" ht="18.75">
      <c r="A104" s="62"/>
      <c r="B104" s="18"/>
      <c r="C104" s="55" t="s">
        <v>97</v>
      </c>
      <c r="D104" s="17">
        <f t="shared" si="15"/>
        <v>150000</v>
      </c>
      <c r="E104" s="21"/>
      <c r="F104" s="56">
        <f t="shared" si="16"/>
        <v>150000</v>
      </c>
      <c r="G104" s="56">
        <v>150000</v>
      </c>
      <c r="H104" s="57"/>
      <c r="I104" s="39">
        <f t="shared" si="20"/>
        <v>0</v>
      </c>
      <c r="J104" s="51">
        <f t="shared" si="17"/>
        <v>0</v>
      </c>
      <c r="L104" s="45">
        <f t="shared" si="18"/>
        <v>150000</v>
      </c>
      <c r="M104" s="66"/>
      <c r="N104" s="66"/>
      <c r="O104" s="66"/>
      <c r="P104" s="66"/>
      <c r="Q104" s="66">
        <f>150000-150000</f>
        <v>0</v>
      </c>
      <c r="R104" s="66"/>
      <c r="S104" s="66">
        <f>109050-68000</f>
        <v>41050</v>
      </c>
      <c r="T104" s="66"/>
      <c r="U104" s="66">
        <f>35000+68000</f>
        <v>103000</v>
      </c>
      <c r="V104" s="66"/>
      <c r="W104" s="66">
        <f>5950</f>
        <v>5950</v>
      </c>
      <c r="X104" s="66"/>
      <c r="Y104" s="45">
        <f t="shared" si="13"/>
        <v>150000</v>
      </c>
      <c r="Z104" s="48">
        <f t="shared" si="19"/>
        <v>0</v>
      </c>
    </row>
    <row r="105" spans="1:26" ht="18.75" hidden="1">
      <c r="A105" s="62"/>
      <c r="B105" s="18"/>
      <c r="C105" s="55" t="s">
        <v>98</v>
      </c>
      <c r="D105" s="17">
        <f t="shared" si="15"/>
        <v>0</v>
      </c>
      <c r="E105" s="21"/>
      <c r="F105" s="56">
        <f t="shared" si="16"/>
        <v>0</v>
      </c>
      <c r="G105" s="57">
        <f>460000-350000-110000</f>
        <v>0</v>
      </c>
      <c r="H105" s="57"/>
      <c r="I105" s="39" t="e">
        <f t="shared" si="20"/>
        <v>#DIV/0!</v>
      </c>
      <c r="J105" s="51" t="e">
        <f t="shared" si="17"/>
        <v>#DIV/0!</v>
      </c>
      <c r="L105" s="45">
        <f t="shared" si="18"/>
        <v>0</v>
      </c>
      <c r="M105" s="66"/>
      <c r="N105" s="66"/>
      <c r="O105" s="66"/>
      <c r="P105" s="66"/>
      <c r="Q105" s="66">
        <f>210000-210000</f>
        <v>0</v>
      </c>
      <c r="R105" s="66">
        <f>250000-250000</f>
        <v>0</v>
      </c>
      <c r="S105" s="66">
        <f>460000</f>
        <v>460000</v>
      </c>
      <c r="T105" s="66"/>
      <c r="U105" s="66">
        <f>-460000</f>
        <v>-460000</v>
      </c>
      <c r="V105" s="66"/>
      <c r="W105" s="66"/>
      <c r="X105" s="66"/>
      <c r="Y105" s="45">
        <f t="shared" si="13"/>
        <v>0</v>
      </c>
      <c r="Z105" s="48">
        <f t="shared" si="19"/>
        <v>0</v>
      </c>
    </row>
    <row r="106" spans="1:26" ht="18.75">
      <c r="A106" s="62"/>
      <c r="B106" s="18"/>
      <c r="C106" s="55" t="s">
        <v>99</v>
      </c>
      <c r="D106" s="17">
        <f t="shared" si="15"/>
        <v>560000</v>
      </c>
      <c r="E106" s="21"/>
      <c r="F106" s="56">
        <f t="shared" si="16"/>
        <v>560000</v>
      </c>
      <c r="G106" s="57">
        <v>560000</v>
      </c>
      <c r="H106" s="57">
        <f>276237.6</f>
        <v>276237.6</v>
      </c>
      <c r="I106" s="17">
        <f t="shared" si="20"/>
        <v>49.32814285714285</v>
      </c>
      <c r="J106" s="51">
        <f t="shared" si="17"/>
        <v>49.32814285714285</v>
      </c>
      <c r="L106" s="45">
        <f t="shared" si="18"/>
        <v>283762.4</v>
      </c>
      <c r="M106" s="66"/>
      <c r="N106" s="66"/>
      <c r="O106" s="66"/>
      <c r="P106" s="66">
        <v>276237.6</v>
      </c>
      <c r="Q106" s="66">
        <f>176200-130387.6</f>
        <v>45812.399999999994</v>
      </c>
      <c r="R106" s="66">
        <f>107562.4-107562.4</f>
        <v>0</v>
      </c>
      <c r="S106" s="66">
        <f>237950</f>
        <v>237950</v>
      </c>
      <c r="T106" s="66"/>
      <c r="U106" s="66"/>
      <c r="V106" s="66"/>
      <c r="W106" s="66"/>
      <c r="X106" s="66"/>
      <c r="Y106" s="45">
        <f t="shared" si="13"/>
        <v>560000</v>
      </c>
      <c r="Z106" s="48">
        <f t="shared" si="19"/>
        <v>0</v>
      </c>
    </row>
    <row r="107" spans="1:26" ht="18.75">
      <c r="A107" s="62"/>
      <c r="B107" s="18"/>
      <c r="C107" s="55" t="s">
        <v>100</v>
      </c>
      <c r="D107" s="17">
        <f t="shared" si="15"/>
        <v>680000</v>
      </c>
      <c r="E107" s="21"/>
      <c r="F107" s="56">
        <f t="shared" si="16"/>
        <v>680000</v>
      </c>
      <c r="G107" s="57">
        <v>680000</v>
      </c>
      <c r="H107" s="57"/>
      <c r="I107" s="39">
        <f t="shared" si="20"/>
        <v>0</v>
      </c>
      <c r="J107" s="51">
        <f t="shared" si="17"/>
        <v>0</v>
      </c>
      <c r="L107" s="45">
        <f t="shared" si="18"/>
        <v>680000</v>
      </c>
      <c r="M107" s="66"/>
      <c r="N107" s="66"/>
      <c r="O107" s="66"/>
      <c r="P107" s="66"/>
      <c r="Q107" s="66">
        <v>100000</v>
      </c>
      <c r="R107" s="66">
        <v>100000</v>
      </c>
      <c r="S107" s="66">
        <v>100000</v>
      </c>
      <c r="T107" s="66">
        <v>100000</v>
      </c>
      <c r="U107" s="66">
        <v>100000</v>
      </c>
      <c r="V107" s="66">
        <v>180000</v>
      </c>
      <c r="W107" s="66"/>
      <c r="X107" s="66"/>
      <c r="Y107" s="45">
        <f t="shared" si="13"/>
        <v>680000</v>
      </c>
      <c r="Z107" s="48">
        <f t="shared" si="19"/>
        <v>0</v>
      </c>
    </row>
    <row r="108" spans="1:26" ht="18.75">
      <c r="A108" s="62"/>
      <c r="B108" s="18"/>
      <c r="C108" s="55" t="s">
        <v>131</v>
      </c>
      <c r="D108" s="17">
        <f t="shared" si="15"/>
        <v>800000</v>
      </c>
      <c r="E108" s="21"/>
      <c r="F108" s="56">
        <f t="shared" si="16"/>
        <v>800000</v>
      </c>
      <c r="G108" s="57">
        <f>800000</f>
        <v>800000</v>
      </c>
      <c r="H108" s="57"/>
      <c r="I108" s="39"/>
      <c r="J108" s="51">
        <f t="shared" si="17"/>
        <v>0</v>
      </c>
      <c r="L108" s="45">
        <f t="shared" si="18"/>
        <v>800000</v>
      </c>
      <c r="M108" s="66"/>
      <c r="N108" s="66"/>
      <c r="O108" s="66"/>
      <c r="P108" s="66"/>
      <c r="Q108" s="66"/>
      <c r="R108" s="66"/>
      <c r="S108" s="66"/>
      <c r="T108" s="66"/>
      <c r="U108" s="75"/>
      <c r="V108" s="75">
        <v>591000</v>
      </c>
      <c r="W108" s="75">
        <v>209000</v>
      </c>
      <c r="X108" s="75"/>
      <c r="Y108" s="45">
        <f t="shared" si="13"/>
        <v>800000</v>
      </c>
      <c r="Z108" s="48">
        <f t="shared" si="19"/>
        <v>0</v>
      </c>
    </row>
    <row r="109" spans="1:26" ht="18.75">
      <c r="A109" s="62"/>
      <c r="B109" s="18"/>
      <c r="C109" s="55" t="s">
        <v>132</v>
      </c>
      <c r="D109" s="17">
        <f t="shared" si="15"/>
        <v>400000</v>
      </c>
      <c r="E109" s="21"/>
      <c r="F109" s="56">
        <f t="shared" si="16"/>
        <v>400000</v>
      </c>
      <c r="G109" s="57">
        <f>400000</f>
        <v>400000</v>
      </c>
      <c r="H109" s="57"/>
      <c r="I109" s="39"/>
      <c r="J109" s="51">
        <f t="shared" si="17"/>
        <v>0</v>
      </c>
      <c r="L109" s="45">
        <f t="shared" si="18"/>
        <v>400000</v>
      </c>
      <c r="M109" s="66"/>
      <c r="N109" s="66"/>
      <c r="O109" s="66"/>
      <c r="P109" s="66"/>
      <c r="Q109" s="66"/>
      <c r="R109" s="66"/>
      <c r="S109" s="66"/>
      <c r="T109" s="66"/>
      <c r="U109" s="75"/>
      <c r="V109" s="75"/>
      <c r="W109" s="75">
        <v>400000</v>
      </c>
      <c r="X109" s="75"/>
      <c r="Y109" s="45">
        <f t="shared" si="13"/>
        <v>400000</v>
      </c>
      <c r="Z109" s="48">
        <f t="shared" si="19"/>
        <v>0</v>
      </c>
    </row>
    <row r="110" spans="1:26" ht="18.75">
      <c r="A110" s="62"/>
      <c r="B110" s="18"/>
      <c r="C110" s="55" t="s">
        <v>133</v>
      </c>
      <c r="D110" s="17">
        <f t="shared" si="15"/>
        <v>750000</v>
      </c>
      <c r="E110" s="21"/>
      <c r="F110" s="56">
        <f t="shared" si="16"/>
        <v>750000</v>
      </c>
      <c r="G110" s="57">
        <f>750000</f>
        <v>750000</v>
      </c>
      <c r="H110" s="57"/>
      <c r="I110" s="39"/>
      <c r="J110" s="51">
        <f t="shared" si="17"/>
        <v>0</v>
      </c>
      <c r="L110" s="45">
        <f t="shared" si="18"/>
        <v>750000</v>
      </c>
      <c r="M110" s="66"/>
      <c r="N110" s="66"/>
      <c r="O110" s="66"/>
      <c r="P110" s="66"/>
      <c r="Q110" s="66"/>
      <c r="R110" s="66"/>
      <c r="S110" s="66"/>
      <c r="T110" s="66"/>
      <c r="U110" s="75"/>
      <c r="V110" s="75"/>
      <c r="W110" s="75">
        <v>750000</v>
      </c>
      <c r="X110" s="75"/>
      <c r="Y110" s="45">
        <f t="shared" si="13"/>
        <v>750000</v>
      </c>
      <c r="Z110" s="48">
        <f t="shared" si="19"/>
        <v>0</v>
      </c>
    </row>
    <row r="111" spans="1:26" ht="18.75">
      <c r="A111" s="62"/>
      <c r="B111" s="18"/>
      <c r="C111" s="55" t="s">
        <v>101</v>
      </c>
      <c r="D111" s="17">
        <f t="shared" si="15"/>
        <v>8000000</v>
      </c>
      <c r="E111" s="21"/>
      <c r="F111" s="56">
        <f t="shared" si="16"/>
        <v>8000000</v>
      </c>
      <c r="G111" s="56">
        <v>8000000</v>
      </c>
      <c r="H111" s="57">
        <f>3276477.6+1727104.4</f>
        <v>5003582</v>
      </c>
      <c r="I111" s="17">
        <f aca="true" t="shared" si="21" ref="I111:I124">H111/D111*100</f>
        <v>62.544774999999994</v>
      </c>
      <c r="J111" s="51">
        <f t="shared" si="17"/>
        <v>65.55050319192378</v>
      </c>
      <c r="L111" s="45">
        <f t="shared" si="18"/>
        <v>2629589</v>
      </c>
      <c r="M111" s="66"/>
      <c r="N111" s="66"/>
      <c r="O111" s="66">
        <v>3850000</v>
      </c>
      <c r="P111" s="66">
        <f>2650000-1000000-450000</f>
        <v>1200000</v>
      </c>
      <c r="Q111" s="66">
        <f>1100000-1100000</f>
        <v>0</v>
      </c>
      <c r="R111" s="66">
        <f>200000-200000</f>
        <v>0</v>
      </c>
      <c r="S111" s="66">
        <f>200000+1750000-486000</f>
        <v>1464000</v>
      </c>
      <c r="T111" s="66"/>
      <c r="U111" s="66"/>
      <c r="V111" s="66">
        <f>1000000+486000-366829</f>
        <v>1119171</v>
      </c>
      <c r="W111" s="66"/>
      <c r="X111" s="66">
        <f>366829</f>
        <v>366829</v>
      </c>
      <c r="Y111" s="45">
        <f t="shared" si="13"/>
        <v>8000000</v>
      </c>
      <c r="Z111" s="48">
        <f t="shared" si="19"/>
        <v>0</v>
      </c>
    </row>
    <row r="112" spans="1:26" ht="37.5">
      <c r="A112" s="62"/>
      <c r="B112" s="18"/>
      <c r="C112" s="55" t="s">
        <v>134</v>
      </c>
      <c r="D112" s="17">
        <f t="shared" si="15"/>
        <v>350000</v>
      </c>
      <c r="E112" s="21"/>
      <c r="F112" s="56">
        <f t="shared" si="16"/>
        <v>350000</v>
      </c>
      <c r="G112" s="56">
        <f>350000</f>
        <v>350000</v>
      </c>
      <c r="H112" s="57"/>
      <c r="I112" s="17"/>
      <c r="J112" s="51">
        <f t="shared" si="17"/>
        <v>0</v>
      </c>
      <c r="L112" s="45">
        <f t="shared" si="18"/>
        <v>350000</v>
      </c>
      <c r="M112" s="66"/>
      <c r="N112" s="66"/>
      <c r="O112" s="66"/>
      <c r="P112" s="66"/>
      <c r="Q112" s="66"/>
      <c r="R112" s="66"/>
      <c r="S112" s="66"/>
      <c r="T112" s="66"/>
      <c r="U112" s="75"/>
      <c r="V112" s="75"/>
      <c r="W112" s="75">
        <v>350000</v>
      </c>
      <c r="X112" s="75"/>
      <c r="Y112" s="45">
        <f t="shared" si="13"/>
        <v>350000</v>
      </c>
      <c r="Z112" s="48">
        <f t="shared" si="19"/>
        <v>0</v>
      </c>
    </row>
    <row r="113" spans="1:26" ht="18.75">
      <c r="A113" s="62"/>
      <c r="B113" s="18"/>
      <c r="C113" s="55" t="s">
        <v>135</v>
      </c>
      <c r="D113" s="17">
        <f t="shared" si="15"/>
        <v>500000</v>
      </c>
      <c r="E113" s="21"/>
      <c r="F113" s="56">
        <f t="shared" si="16"/>
        <v>500000</v>
      </c>
      <c r="G113" s="56">
        <f>500000</f>
        <v>500000</v>
      </c>
      <c r="H113" s="57"/>
      <c r="I113" s="17"/>
      <c r="J113" s="51">
        <f t="shared" si="17"/>
        <v>0</v>
      </c>
      <c r="L113" s="45">
        <f t="shared" si="18"/>
        <v>500000</v>
      </c>
      <c r="M113" s="66"/>
      <c r="N113" s="66"/>
      <c r="O113" s="66"/>
      <c r="P113" s="66"/>
      <c r="Q113" s="66"/>
      <c r="R113" s="66"/>
      <c r="S113" s="66"/>
      <c r="T113" s="66"/>
      <c r="U113" s="75"/>
      <c r="V113" s="75">
        <v>500000</v>
      </c>
      <c r="W113" s="75"/>
      <c r="X113" s="75"/>
      <c r="Y113" s="45">
        <f t="shared" si="13"/>
        <v>500000</v>
      </c>
      <c r="Z113" s="48">
        <f t="shared" si="19"/>
        <v>0</v>
      </c>
    </row>
    <row r="114" spans="1:26" ht="37.5">
      <c r="A114" s="62"/>
      <c r="B114" s="18"/>
      <c r="C114" s="55" t="s">
        <v>102</v>
      </c>
      <c r="D114" s="17">
        <f t="shared" si="15"/>
        <v>1376503.16</v>
      </c>
      <c r="E114" s="21"/>
      <c r="F114" s="56">
        <f t="shared" si="16"/>
        <v>1376503.16</v>
      </c>
      <c r="G114" s="57">
        <v>1376503.16</v>
      </c>
      <c r="H114" s="57">
        <f>643647</f>
        <v>643647</v>
      </c>
      <c r="I114" s="17">
        <f t="shared" si="21"/>
        <v>46.75957300381352</v>
      </c>
      <c r="J114" s="51">
        <f t="shared" si="17"/>
        <v>46.75957300381352</v>
      </c>
      <c r="L114" s="45">
        <f t="shared" si="18"/>
        <v>732856.1599999999</v>
      </c>
      <c r="M114" s="66"/>
      <c r="N114" s="66"/>
      <c r="O114" s="66"/>
      <c r="P114" s="66">
        <v>643647</v>
      </c>
      <c r="Q114" s="66">
        <v>295000</v>
      </c>
      <c r="R114" s="66">
        <v>437856.16</v>
      </c>
      <c r="S114" s="67"/>
      <c r="T114" s="66"/>
      <c r="U114" s="66"/>
      <c r="V114" s="66"/>
      <c r="W114" s="66"/>
      <c r="X114" s="66"/>
      <c r="Y114" s="45">
        <f t="shared" si="13"/>
        <v>1376503.16</v>
      </c>
      <c r="Z114" s="48">
        <f t="shared" si="19"/>
        <v>0</v>
      </c>
    </row>
    <row r="115" spans="1:26" ht="37.5" hidden="1">
      <c r="A115" s="62"/>
      <c r="B115" s="18"/>
      <c r="C115" s="55" t="s">
        <v>103</v>
      </c>
      <c r="D115" s="17">
        <f t="shared" si="15"/>
        <v>0</v>
      </c>
      <c r="E115" s="21"/>
      <c r="F115" s="56">
        <f t="shared" si="16"/>
        <v>0</v>
      </c>
      <c r="G115" s="57">
        <f>2000000-2000000</f>
        <v>0</v>
      </c>
      <c r="H115" s="57"/>
      <c r="I115" s="39" t="e">
        <f t="shared" si="21"/>
        <v>#DIV/0!</v>
      </c>
      <c r="J115" s="51" t="e">
        <f t="shared" si="17"/>
        <v>#DIV/0!</v>
      </c>
      <c r="L115" s="45">
        <f t="shared" si="18"/>
        <v>0</v>
      </c>
      <c r="M115" s="66"/>
      <c r="N115" s="66"/>
      <c r="O115" s="66"/>
      <c r="P115" s="66">
        <f>450000-450000</f>
        <v>0</v>
      </c>
      <c r="Q115" s="66">
        <f>359000-359000</f>
        <v>0</v>
      </c>
      <c r="R115" s="66">
        <f>400000-318995.42-81004.58</f>
        <v>0</v>
      </c>
      <c r="S115" s="66">
        <f>350000-350000</f>
        <v>0</v>
      </c>
      <c r="T115" s="66">
        <f>341800-341800</f>
        <v>0</v>
      </c>
      <c r="U115" s="66">
        <f>99200-99200</f>
        <v>0</v>
      </c>
      <c r="V115" s="66"/>
      <c r="W115" s="66"/>
      <c r="X115" s="66">
        <f>318995.42-318995.42</f>
        <v>0</v>
      </c>
      <c r="Y115" s="45">
        <f t="shared" si="13"/>
        <v>0</v>
      </c>
      <c r="Z115" s="48">
        <f t="shared" si="19"/>
        <v>0</v>
      </c>
    </row>
    <row r="116" spans="1:26" ht="37.5" hidden="1">
      <c r="A116" s="62"/>
      <c r="B116" s="18"/>
      <c r="C116" s="55" t="s">
        <v>104</v>
      </c>
      <c r="D116" s="17">
        <f t="shared" si="15"/>
        <v>0</v>
      </c>
      <c r="E116" s="21"/>
      <c r="F116" s="56">
        <f t="shared" si="16"/>
        <v>0</v>
      </c>
      <c r="G116" s="57">
        <f>1050767.76-250767.76-800000</f>
        <v>0</v>
      </c>
      <c r="H116" s="57"/>
      <c r="I116" s="39" t="e">
        <f t="shared" si="21"/>
        <v>#DIV/0!</v>
      </c>
      <c r="J116" s="51" t="e">
        <f t="shared" si="17"/>
        <v>#DIV/0!</v>
      </c>
      <c r="L116" s="45">
        <f t="shared" si="18"/>
        <v>0</v>
      </c>
      <c r="M116" s="66"/>
      <c r="N116" s="66"/>
      <c r="O116" s="66"/>
      <c r="P116" s="66">
        <f>430000-223714.8</f>
        <v>206285.2</v>
      </c>
      <c r="Q116" s="66">
        <v>150000</v>
      </c>
      <c r="R116" s="66">
        <v>230600</v>
      </c>
      <c r="S116" s="66">
        <v>200000</v>
      </c>
      <c r="T116" s="66">
        <v>40167.76</v>
      </c>
      <c r="U116" s="66">
        <f>-827052.96</f>
        <v>-827052.96</v>
      </c>
      <c r="V116" s="66">
        <f>223714.8-223714.8</f>
        <v>0</v>
      </c>
      <c r="W116" s="66"/>
      <c r="X116" s="66"/>
      <c r="Y116" s="45">
        <f t="shared" si="13"/>
        <v>0</v>
      </c>
      <c r="Z116" s="48">
        <f t="shared" si="19"/>
        <v>0</v>
      </c>
    </row>
    <row r="117" spans="1:26" ht="37.5" hidden="1">
      <c r="A117" s="62"/>
      <c r="B117" s="18"/>
      <c r="C117" s="55" t="s">
        <v>105</v>
      </c>
      <c r="D117" s="17">
        <f t="shared" si="15"/>
        <v>0</v>
      </c>
      <c r="E117" s="21"/>
      <c r="F117" s="56">
        <f t="shared" si="16"/>
        <v>0</v>
      </c>
      <c r="G117" s="57">
        <f>676676.89-676676.89</f>
        <v>0</v>
      </c>
      <c r="H117" s="57"/>
      <c r="I117" s="39" t="e">
        <f t="shared" si="21"/>
        <v>#DIV/0!</v>
      </c>
      <c r="J117" s="51" t="e">
        <f t="shared" si="17"/>
        <v>#DIV/0!</v>
      </c>
      <c r="L117" s="45">
        <f t="shared" si="18"/>
        <v>0</v>
      </c>
      <c r="M117" s="66"/>
      <c r="N117" s="66"/>
      <c r="O117" s="66"/>
      <c r="P117" s="66">
        <v>385000</v>
      </c>
      <c r="Q117" s="66">
        <v>100000</v>
      </c>
      <c r="R117" s="66">
        <v>100000</v>
      </c>
      <c r="S117" s="66">
        <v>91676.89</v>
      </c>
      <c r="T117" s="66"/>
      <c r="U117" s="66">
        <f>-676676.89</f>
        <v>-676676.89</v>
      </c>
      <c r="V117" s="66"/>
      <c r="W117" s="66"/>
      <c r="X117" s="66"/>
      <c r="Y117" s="45">
        <f t="shared" si="13"/>
        <v>0</v>
      </c>
      <c r="Z117" s="48">
        <f t="shared" si="19"/>
        <v>0</v>
      </c>
    </row>
    <row r="118" spans="1:26" ht="37.5">
      <c r="A118" s="62"/>
      <c r="B118" s="18"/>
      <c r="C118" s="55" t="s">
        <v>106</v>
      </c>
      <c r="D118" s="17">
        <f t="shared" si="15"/>
        <v>2450000</v>
      </c>
      <c r="E118" s="21"/>
      <c r="F118" s="56">
        <f t="shared" si="16"/>
        <v>2450000</v>
      </c>
      <c r="G118" s="57">
        <v>2450000</v>
      </c>
      <c r="H118" s="57">
        <f>597711</f>
        <v>597711</v>
      </c>
      <c r="I118" s="17">
        <f t="shared" si="21"/>
        <v>24.396367346938774</v>
      </c>
      <c r="J118" s="51">
        <f t="shared" si="17"/>
        <v>30.65184615384615</v>
      </c>
      <c r="L118" s="45">
        <f t="shared" si="18"/>
        <v>1352289</v>
      </c>
      <c r="M118" s="66"/>
      <c r="N118" s="66"/>
      <c r="O118" s="66"/>
      <c r="P118" s="66">
        <f>1186087-586087</f>
        <v>600000</v>
      </c>
      <c r="Q118" s="66">
        <f>429100-429100</f>
        <v>0</v>
      </c>
      <c r="R118" s="66">
        <f>796987.8-500000-284813</f>
        <v>12174.800000000047</v>
      </c>
      <c r="S118" s="66">
        <v>37825.2</v>
      </c>
      <c r="T118" s="66"/>
      <c r="U118" s="66"/>
      <c r="V118" s="66">
        <f>1300000</f>
        <v>1300000</v>
      </c>
      <c r="W118" s="66"/>
      <c r="X118" s="66">
        <v>500000</v>
      </c>
      <c r="Y118" s="45">
        <f t="shared" si="13"/>
        <v>2450000</v>
      </c>
      <c r="Z118" s="48">
        <f t="shared" si="19"/>
        <v>0</v>
      </c>
    </row>
    <row r="119" spans="1:26" ht="37.5">
      <c r="A119" s="62"/>
      <c r="B119" s="18"/>
      <c r="C119" s="55" t="s">
        <v>107</v>
      </c>
      <c r="D119" s="17">
        <f t="shared" si="15"/>
        <v>9834000</v>
      </c>
      <c r="E119" s="21"/>
      <c r="F119" s="56">
        <f t="shared" si="16"/>
        <v>9834000</v>
      </c>
      <c r="G119" s="56">
        <v>9834000</v>
      </c>
      <c r="H119" s="57">
        <f>33264+9234+1620974.51+23480.87+1785858+310973.57+32406.76+430403.87+5514.81-430403.87</f>
        <v>3821706.5199999986</v>
      </c>
      <c r="I119" s="17">
        <f t="shared" si="21"/>
        <v>38.86217734390887</v>
      </c>
      <c r="J119" s="51">
        <f t="shared" si="17"/>
        <v>43.26133710663345</v>
      </c>
      <c r="L119" s="45">
        <f t="shared" si="18"/>
        <v>5012293.480000001</v>
      </c>
      <c r="M119" s="66"/>
      <c r="N119" s="66"/>
      <c r="O119" s="66"/>
      <c r="P119" s="66">
        <f>2400000-1000000+586087</f>
        <v>1986087</v>
      </c>
      <c r="Q119" s="66">
        <f>1000000-800000+100000+429100</f>
        <v>729100</v>
      </c>
      <c r="R119" s="66">
        <f>284813</f>
        <v>284813</v>
      </c>
      <c r="S119" s="66">
        <f>486000</f>
        <v>486000</v>
      </c>
      <c r="T119" s="66">
        <v>3000000</v>
      </c>
      <c r="U119" s="66"/>
      <c r="V119" s="66">
        <f>1434000+1000000-100000-1786000</f>
        <v>548000</v>
      </c>
      <c r="W119" s="66">
        <f>1000000+800000</f>
        <v>1800000</v>
      </c>
      <c r="X119" s="66">
        <v>1000000</v>
      </c>
      <c r="Y119" s="45">
        <f t="shared" si="13"/>
        <v>9834000</v>
      </c>
      <c r="Z119" s="48">
        <f t="shared" si="19"/>
        <v>0</v>
      </c>
    </row>
    <row r="120" spans="1:26" ht="37.5">
      <c r="A120" s="26"/>
      <c r="B120" s="63"/>
      <c r="C120" s="55" t="s">
        <v>108</v>
      </c>
      <c r="D120" s="17">
        <f t="shared" si="15"/>
        <v>315692.7599999998</v>
      </c>
      <c r="E120" s="21"/>
      <c r="F120" s="56">
        <f t="shared" si="16"/>
        <v>315692.7599999998</v>
      </c>
      <c r="G120" s="56">
        <f>8567000-8251307.24</f>
        <v>315692.7599999998</v>
      </c>
      <c r="H120" s="57">
        <f>15646</f>
        <v>15646</v>
      </c>
      <c r="I120" s="17">
        <f t="shared" si="21"/>
        <v>4.956084517110881</v>
      </c>
      <c r="J120" s="51">
        <f t="shared" si="17"/>
        <v>5.063430420711974</v>
      </c>
      <c r="L120" s="45">
        <f t="shared" si="18"/>
        <v>293354</v>
      </c>
      <c r="M120" s="66"/>
      <c r="N120" s="66"/>
      <c r="O120" s="66"/>
      <c r="P120" s="66"/>
      <c r="Q120" s="66">
        <f>2400000-1400000-591000-100000-293000</f>
        <v>16000</v>
      </c>
      <c r="R120" s="66">
        <f>2400000-2000000-400000</f>
        <v>0</v>
      </c>
      <c r="S120" s="66">
        <f>293000</f>
        <v>293000</v>
      </c>
      <c r="T120" s="66"/>
      <c r="U120" s="75"/>
      <c r="V120" s="75">
        <f>991000+100000-1091000</f>
        <v>0</v>
      </c>
      <c r="W120" s="75">
        <f>1767000+1400000-3167000</f>
        <v>0</v>
      </c>
      <c r="X120" s="75">
        <f>2000000+2000000-3993307.24</f>
        <v>6692.7599999997765</v>
      </c>
      <c r="Y120" s="45">
        <f t="shared" si="13"/>
        <v>315692.7599999998</v>
      </c>
      <c r="Z120" s="48">
        <f t="shared" si="19"/>
        <v>0</v>
      </c>
    </row>
    <row r="121" spans="1:26" ht="37.5">
      <c r="A121" s="26"/>
      <c r="B121" s="63"/>
      <c r="C121" s="55" t="s">
        <v>109</v>
      </c>
      <c r="D121" s="17">
        <f t="shared" si="15"/>
        <v>3033744</v>
      </c>
      <c r="E121" s="21"/>
      <c r="F121" s="56">
        <f t="shared" si="16"/>
        <v>3033744</v>
      </c>
      <c r="G121" s="57">
        <f>6033744-3000000</f>
        <v>3033744</v>
      </c>
      <c r="H121" s="57">
        <f>10927+531193.2+6146.73</f>
        <v>548266.9299999999</v>
      </c>
      <c r="I121" s="17">
        <f t="shared" si="21"/>
        <v>18.072287246385983</v>
      </c>
      <c r="J121" s="51">
        <f t="shared" si="17"/>
        <v>26.958502643400546</v>
      </c>
      <c r="L121" s="45">
        <f t="shared" si="18"/>
        <v>1485477.07</v>
      </c>
      <c r="M121" s="66"/>
      <c r="N121" s="66"/>
      <c r="O121" s="66"/>
      <c r="P121" s="75">
        <f>2000000-1000000-450000</f>
        <v>550000</v>
      </c>
      <c r="Q121" s="75">
        <f>1900000-1500000-400000</f>
        <v>0</v>
      </c>
      <c r="R121" s="75"/>
      <c r="S121" s="75">
        <f>850000</f>
        <v>850000</v>
      </c>
      <c r="T121" s="75"/>
      <c r="U121" s="75"/>
      <c r="V121" s="75">
        <f>1000000-1000000</f>
        <v>0</v>
      </c>
      <c r="W121" s="75">
        <f>1133744+1500000-2000000</f>
        <v>633744</v>
      </c>
      <c r="X121" s="75">
        <v>1000000</v>
      </c>
      <c r="Y121" s="45">
        <f t="shared" si="13"/>
        <v>3033744</v>
      </c>
      <c r="Z121" s="48">
        <f t="shared" si="19"/>
        <v>0</v>
      </c>
    </row>
    <row r="122" spans="1:26" ht="37.5">
      <c r="A122" s="26"/>
      <c r="B122" s="63"/>
      <c r="C122" s="55" t="s">
        <v>110</v>
      </c>
      <c r="D122" s="17">
        <f t="shared" si="15"/>
        <v>10100000</v>
      </c>
      <c r="E122" s="21"/>
      <c r="F122" s="56">
        <f t="shared" si="16"/>
        <v>10100000</v>
      </c>
      <c r="G122" s="64">
        <f>100000+10000000</f>
        <v>10100000</v>
      </c>
      <c r="H122" s="57">
        <f>72592.8+4965000</f>
        <v>5037592.8</v>
      </c>
      <c r="I122" s="17">
        <f t="shared" si="21"/>
        <v>49.87715643564356</v>
      </c>
      <c r="J122" s="51">
        <f t="shared" si="17"/>
        <v>51.93394639175257</v>
      </c>
      <c r="L122" s="45">
        <f t="shared" si="18"/>
        <v>4662407.2</v>
      </c>
      <c r="M122" s="66"/>
      <c r="N122" s="66"/>
      <c r="O122" s="66"/>
      <c r="P122" s="75">
        <v>70000</v>
      </c>
      <c r="Q122" s="75">
        <v>30000</v>
      </c>
      <c r="R122" s="75"/>
      <c r="S122" s="75">
        <f>100000</f>
        <v>100000</v>
      </c>
      <c r="T122" s="75">
        <f>600000</f>
        <v>600000</v>
      </c>
      <c r="U122" s="75">
        <f>600000</f>
        <v>600000</v>
      </c>
      <c r="V122" s="75">
        <f>4000000</f>
        <v>4000000</v>
      </c>
      <c r="W122" s="75">
        <f>4300000</f>
        <v>4300000</v>
      </c>
      <c r="X122" s="75">
        <v>400000</v>
      </c>
      <c r="Y122" s="45">
        <f t="shared" si="13"/>
        <v>10100000</v>
      </c>
      <c r="Z122" s="48">
        <f t="shared" si="19"/>
        <v>0</v>
      </c>
    </row>
    <row r="123" spans="1:26" ht="18.75">
      <c r="A123" s="62"/>
      <c r="B123" s="18"/>
      <c r="C123" s="55" t="s">
        <v>111</v>
      </c>
      <c r="D123" s="17">
        <f t="shared" si="15"/>
        <v>507975</v>
      </c>
      <c r="E123" s="21"/>
      <c r="F123" s="56">
        <f t="shared" si="16"/>
        <v>507975</v>
      </c>
      <c r="G123" s="64">
        <f>5000000-1936125-1185900-30000-1340000</f>
        <v>507975</v>
      </c>
      <c r="H123" s="13"/>
      <c r="I123" s="39">
        <f t="shared" si="21"/>
        <v>0</v>
      </c>
      <c r="J123" s="51">
        <f t="shared" si="17"/>
        <v>0</v>
      </c>
      <c r="L123" s="45">
        <f t="shared" si="18"/>
        <v>447975</v>
      </c>
      <c r="M123" s="66"/>
      <c r="N123" s="66"/>
      <c r="O123" s="66"/>
      <c r="P123" s="76"/>
      <c r="Q123" s="76"/>
      <c r="R123" s="76">
        <f>900000-800000-30000</f>
        <v>70000</v>
      </c>
      <c r="S123" s="76">
        <f>400000-100000</f>
        <v>300000</v>
      </c>
      <c r="T123" s="76"/>
      <c r="U123" s="76">
        <f>450000-400000</f>
        <v>50000</v>
      </c>
      <c r="V123" s="76">
        <f>120000-100000</f>
        <v>20000</v>
      </c>
      <c r="W123" s="76">
        <v>7975</v>
      </c>
      <c r="X123" s="76">
        <f>800000-740000</f>
        <v>60000</v>
      </c>
      <c r="Y123" s="45">
        <f t="shared" si="13"/>
        <v>507975</v>
      </c>
      <c r="Z123" s="48">
        <f t="shared" si="19"/>
        <v>0</v>
      </c>
    </row>
    <row r="124" spans="1:26" ht="18.75">
      <c r="A124" s="22"/>
      <c r="B124" s="6"/>
      <c r="C124" s="23" t="s">
        <v>13</v>
      </c>
      <c r="D124" s="8">
        <f>D11+D87</f>
        <v>338277188.17</v>
      </c>
      <c r="E124" s="8">
        <f>E11+E87</f>
        <v>121908716.29</v>
      </c>
      <c r="F124" s="8">
        <f>F11+F87</f>
        <v>216368471.88</v>
      </c>
      <c r="G124" s="8">
        <f>G11+G87</f>
        <v>216368471.88</v>
      </c>
      <c r="H124" s="8">
        <f>H11+H87</f>
        <v>159283295.94</v>
      </c>
      <c r="I124" s="8">
        <f t="shared" si="21"/>
        <v>47.08662053202143</v>
      </c>
      <c r="J124" s="84">
        <f>(H124/(M124+N124+O124+P124+Q124+R124+S124+T124+U124+V124+W124))*100</f>
        <v>68.80062103905537</v>
      </c>
      <c r="L124" s="50">
        <f t="shared" si="18"/>
        <v>72231032.75999999</v>
      </c>
      <c r="M124" s="50">
        <f>M87+M29+M11</f>
        <v>3250000</v>
      </c>
      <c r="N124" s="50">
        <f aca="true" t="shared" si="22" ref="N124:X124">N87+N29+N11</f>
        <v>3932800</v>
      </c>
      <c r="O124" s="50">
        <f t="shared" si="22"/>
        <v>13642681.91</v>
      </c>
      <c r="P124" s="50">
        <f t="shared" si="22"/>
        <v>35841428.25</v>
      </c>
      <c r="Q124" s="50">
        <f t="shared" si="22"/>
        <v>18462721.119999997</v>
      </c>
      <c r="R124" s="50">
        <f t="shared" si="22"/>
        <v>19785609.630000003</v>
      </c>
      <c r="S124" s="50">
        <f t="shared" si="22"/>
        <v>29407585.61</v>
      </c>
      <c r="T124" s="50">
        <f t="shared" si="22"/>
        <v>24422696.46</v>
      </c>
      <c r="U124" s="50">
        <f t="shared" si="22"/>
        <v>25005560.380000003</v>
      </c>
      <c r="V124" s="50">
        <f t="shared" si="22"/>
        <v>18273326.18</v>
      </c>
      <c r="W124" s="50">
        <f t="shared" si="22"/>
        <v>39489919.16</v>
      </c>
      <c r="X124" s="50">
        <f t="shared" si="22"/>
        <v>106762859.47</v>
      </c>
      <c r="Y124" s="45">
        <f t="shared" si="13"/>
        <v>338277188.16999996</v>
      </c>
      <c r="Z124" s="48">
        <f t="shared" si="19"/>
        <v>0</v>
      </c>
    </row>
  </sheetData>
  <sheetProtection/>
  <mergeCells count="29">
    <mergeCell ref="J21:J28"/>
    <mergeCell ref="J13:J18"/>
    <mergeCell ref="D1:E1"/>
    <mergeCell ref="A7:A8"/>
    <mergeCell ref="C7:C8"/>
    <mergeCell ref="D7:D8"/>
    <mergeCell ref="E7:E8"/>
    <mergeCell ref="A4:I4"/>
    <mergeCell ref="A3:I3"/>
    <mergeCell ref="H7:H8"/>
    <mergeCell ref="I7:I8"/>
    <mergeCell ref="F7:F8"/>
    <mergeCell ref="O8:O9"/>
    <mergeCell ref="V8:V9"/>
    <mergeCell ref="W8:W9"/>
    <mergeCell ref="P8:P9"/>
    <mergeCell ref="Q8:Q9"/>
    <mergeCell ref="R8:R9"/>
    <mergeCell ref="S8:S9"/>
    <mergeCell ref="A86:G86"/>
    <mergeCell ref="X8:X9"/>
    <mergeCell ref="Y8:Y9"/>
    <mergeCell ref="J7:J8"/>
    <mergeCell ref="A10:J10"/>
    <mergeCell ref="T8:T9"/>
    <mergeCell ref="U8:U9"/>
    <mergeCell ref="L8:L9"/>
    <mergeCell ref="M8:M9"/>
    <mergeCell ref="N8:N9"/>
  </mergeCells>
  <printOptions/>
  <pageMargins left="0.37" right="0.1968503937007874" top="0.39" bottom="0.22" header="0.1968503937007874" footer="0.37"/>
  <pageSetup fitToHeight="15" fitToWidth="1" horizontalDpi="600" verticalDpi="6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fmg</cp:lastModifiedBy>
  <cp:lastPrinted>2018-04-10T13:08:35Z</cp:lastPrinted>
  <dcterms:created xsi:type="dcterms:W3CDTF">2014-01-17T10:52:16Z</dcterms:created>
  <dcterms:modified xsi:type="dcterms:W3CDTF">2018-11-02T13:24:06Z</dcterms:modified>
  <cp:category/>
  <cp:version/>
  <cp:contentType/>
  <cp:contentStatus/>
</cp:coreProperties>
</file>